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45" windowWidth="20340" windowHeight="11025"/>
  </bookViews>
  <sheets>
    <sheet name="計算" sheetId="1" r:id="rId1"/>
    <sheet name="装備" sheetId="2" r:id="rId2"/>
    <sheet name="ロール" sheetId="3" r:id="rId3"/>
    <sheet name="Memo" sheetId="4" r:id="rId4"/>
  </sheets>
  <definedNames>
    <definedName name="ウィザーズロール">ロール!$B$2:$B$24</definedName>
    <definedName name="サブ">装備!$A$64:$J$74</definedName>
    <definedName name="サブ一覧">装備!$A$65:$A$74</definedName>
    <definedName name="サポ種族">装備!$A$3:$J$23</definedName>
    <definedName name="サポ種族一覧">装備!$A$4:$A$23</definedName>
    <definedName name="ステータスラベル">装備!$A$1:$J$1</definedName>
    <definedName name="メイン">装備!$A$55:$J$62</definedName>
    <definedName name="メイン一覧">装備!$A$56:$A$62</definedName>
    <definedName name="ロールインデックス">ロール!$A$2:$A$24</definedName>
    <definedName name="ワーロックスロール">ロール!$C$2:$C$24</definedName>
    <definedName name="遠隔">装備!$A$39:$J$47</definedName>
    <definedName name="遠隔一覧">装備!$A$40:$A$47</definedName>
    <definedName name="腰">装備!$A$156:$J$165</definedName>
    <definedName name="腰一覧">装備!$A$157:$A$165</definedName>
    <definedName name="指">装備!$A$137:$J$147</definedName>
    <definedName name="指一覧">装備!$A$138:$A$147</definedName>
    <definedName name="耳">装備!$A$127:$J$135</definedName>
    <definedName name="耳一覧">装備!$A$128:$A$135</definedName>
    <definedName name="首">装備!$A$149:$J$154</definedName>
    <definedName name="首一覧">装備!$A$150:$A$154</definedName>
    <definedName name="食事">装備!$A$25:$J$37</definedName>
    <definedName name="食事一覧">装備!$A$26:$A$37</definedName>
    <definedName name="頭">装備!$A$76:$J$84</definedName>
    <definedName name="頭一覧">装備!$A$77:$A$84</definedName>
    <definedName name="胴">装備!$A$86:$J$95</definedName>
    <definedName name="胴一覧">装備!$A$87:$A$95</definedName>
    <definedName name="背">装備!$A$167:$J$169</definedName>
    <definedName name="背一覧">装備!$A$168:$A$169</definedName>
    <definedName name="矢弾">装備!$A$49:$J$53</definedName>
    <definedName name="矢弾一覧">装備!$A$50:$A$53</definedName>
    <definedName name="両脚">装備!$A$110:$J$116</definedName>
    <definedName name="両脚一覧">装備!$A$111:$A$116</definedName>
    <definedName name="両手">装備!$A$97:$J$108</definedName>
    <definedName name="両手一覧">装備!$A$98:$A$108</definedName>
    <definedName name="両足">装備!$A$118:$J$125</definedName>
    <definedName name="両足一覧">装備!$A$119:$A$125</definedName>
  </definedNames>
  <calcPr calcId="125725"/>
</workbook>
</file>

<file path=xl/calcChain.xml><?xml version="1.0" encoding="utf-8"?>
<calcChain xmlns="http://schemas.openxmlformats.org/spreadsheetml/2006/main">
  <c r="Q31" i="1"/>
  <c r="Q30"/>
  <c r="D21"/>
  <c r="C21"/>
  <c r="D20"/>
  <c r="C20"/>
  <c r="J106" i="2"/>
  <c r="I106"/>
  <c r="H106"/>
  <c r="G106"/>
  <c r="F106"/>
  <c r="E106"/>
  <c r="D106"/>
  <c r="C106"/>
  <c r="D11" i="1"/>
  <c r="D10"/>
  <c r="C19"/>
  <c r="L22" s="1"/>
  <c r="D19"/>
  <c r="U22" s="1"/>
  <c r="D18"/>
  <c r="S22" s="1"/>
  <c r="C18"/>
  <c r="J22" s="1"/>
  <c r="X9"/>
  <c r="R9"/>
  <c r="Q9"/>
  <c r="W9"/>
  <c r="S9"/>
  <c r="U9"/>
  <c r="T9"/>
  <c r="V9"/>
  <c r="U8"/>
  <c r="X8"/>
  <c r="S8"/>
  <c r="V8"/>
  <c r="Q8"/>
  <c r="W8"/>
  <c r="R8"/>
  <c r="T8"/>
  <c r="R5"/>
  <c r="R7"/>
  <c r="R6"/>
  <c r="S7"/>
  <c r="W5"/>
  <c r="V5"/>
  <c r="X7"/>
  <c r="Q7"/>
  <c r="S5"/>
  <c r="V7"/>
  <c r="T7"/>
  <c r="X5"/>
  <c r="S6"/>
  <c r="T5"/>
  <c r="U6"/>
  <c r="X6"/>
  <c r="U5"/>
  <c r="Q6"/>
  <c r="U7"/>
  <c r="W7"/>
  <c r="T6"/>
  <c r="W6"/>
  <c r="V6"/>
  <c r="Q5"/>
  <c r="F125" i="2" l="1"/>
  <c r="E125"/>
  <c r="G125"/>
  <c r="J125"/>
  <c r="I125"/>
  <c r="H125"/>
  <c r="D125"/>
  <c r="C125"/>
  <c r="G116"/>
  <c r="J116"/>
  <c r="I116"/>
  <c r="H116"/>
  <c r="F116"/>
  <c r="E116"/>
  <c r="D116"/>
  <c r="C116"/>
  <c r="G105"/>
  <c r="F105"/>
  <c r="E105"/>
  <c r="J105"/>
  <c r="I105"/>
  <c r="H105"/>
  <c r="D105"/>
  <c r="C105"/>
  <c r="G95"/>
  <c r="J95"/>
  <c r="I95"/>
  <c r="H95"/>
  <c r="F95"/>
  <c r="E95"/>
  <c r="D95"/>
  <c r="C95"/>
  <c r="G94"/>
  <c r="F94"/>
  <c r="E94"/>
  <c r="J94"/>
  <c r="I94"/>
  <c r="H94"/>
  <c r="D94"/>
  <c r="C94"/>
  <c r="G84"/>
  <c r="F84"/>
  <c r="J84"/>
  <c r="I84"/>
  <c r="H84"/>
  <c r="E84"/>
  <c r="D84"/>
  <c r="C84"/>
  <c r="Q28" i="1" l="1"/>
  <c r="Q27"/>
  <c r="P22"/>
  <c r="G22"/>
  <c r="P23" l="1"/>
  <c r="G23"/>
  <c r="X16"/>
  <c r="X18"/>
  <c r="X12"/>
  <c r="X10"/>
  <c r="X20"/>
  <c r="X14"/>
  <c r="X11"/>
  <c r="X19"/>
  <c r="X17"/>
  <c r="X13"/>
  <c r="X21"/>
  <c r="X15"/>
  <c r="M21"/>
  <c r="N21"/>
  <c r="I21"/>
  <c r="J21"/>
  <c r="O21"/>
  <c r="H21"/>
  <c r="L21"/>
  <c r="K21"/>
  <c r="I18"/>
  <c r="O18"/>
  <c r="J18"/>
  <c r="M18"/>
  <c r="L18"/>
  <c r="N18"/>
  <c r="K18"/>
  <c r="H18"/>
  <c r="J17"/>
  <c r="H17"/>
  <c r="N17"/>
  <c r="I17"/>
  <c r="M17"/>
  <c r="O17"/>
  <c r="K17"/>
  <c r="L17"/>
  <c r="N16"/>
  <c r="O16"/>
  <c r="I16"/>
  <c r="H16"/>
  <c r="L16"/>
  <c r="J16"/>
  <c r="M16"/>
  <c r="K16"/>
  <c r="O15"/>
  <c r="I15"/>
  <c r="N15"/>
  <c r="H15"/>
  <c r="J15"/>
  <c r="K15"/>
  <c r="L15"/>
  <c r="M15"/>
  <c r="L14"/>
  <c r="H14"/>
  <c r="N14"/>
  <c r="M14"/>
  <c r="O14"/>
  <c r="K14"/>
  <c r="J14"/>
  <c r="I14"/>
  <c r="J13"/>
  <c r="L13"/>
  <c r="O13"/>
  <c r="K13"/>
  <c r="I13"/>
  <c r="M13"/>
  <c r="H13"/>
  <c r="N13"/>
  <c r="N12"/>
  <c r="K12"/>
  <c r="I12"/>
  <c r="O12"/>
  <c r="H12"/>
  <c r="L12"/>
  <c r="M12"/>
  <c r="J12"/>
  <c r="K11"/>
  <c r="L11"/>
  <c r="O11"/>
  <c r="J11"/>
  <c r="H11"/>
  <c r="M11"/>
  <c r="N11"/>
  <c r="I11"/>
  <c r="M10"/>
  <c r="L10"/>
  <c r="I10"/>
  <c r="J10"/>
  <c r="K10"/>
  <c r="N10"/>
  <c r="H10"/>
  <c r="O10"/>
  <c r="M9"/>
  <c r="L9"/>
  <c r="H9"/>
  <c r="O9"/>
  <c r="I9"/>
  <c r="J9"/>
  <c r="K9"/>
  <c r="N9"/>
  <c r="N8"/>
  <c r="M8"/>
  <c r="I8"/>
  <c r="H8"/>
  <c r="L8"/>
  <c r="J8"/>
  <c r="K8"/>
  <c r="O8"/>
  <c r="K20"/>
  <c r="N20"/>
  <c r="I20"/>
  <c r="O20"/>
  <c r="H20"/>
  <c r="M20"/>
  <c r="J20"/>
  <c r="L20"/>
  <c r="N19"/>
  <c r="O19"/>
  <c r="J19"/>
  <c r="H19"/>
  <c r="M19"/>
  <c r="I19"/>
  <c r="L19"/>
  <c r="K19"/>
  <c r="K5"/>
  <c r="M4"/>
  <c r="O6"/>
  <c r="I5"/>
  <c r="J6"/>
  <c r="M7"/>
  <c r="O5"/>
  <c r="H5"/>
  <c r="L6"/>
  <c r="I7"/>
  <c r="X4"/>
  <c r="J7"/>
  <c r="N5"/>
  <c r="M5"/>
  <c r="H4"/>
  <c r="J5"/>
  <c r="N7"/>
  <c r="I6"/>
  <c r="L5"/>
  <c r="O7"/>
  <c r="J4"/>
  <c r="N4"/>
  <c r="K7"/>
  <c r="L4"/>
  <c r="K4"/>
  <c r="I4"/>
  <c r="K6"/>
  <c r="O4"/>
  <c r="N6"/>
  <c r="H7"/>
  <c r="M6"/>
  <c r="L7"/>
  <c r="H6"/>
  <c r="L24" l="1"/>
  <c r="C25" s="1"/>
  <c r="H24"/>
  <c r="I24"/>
  <c r="X24"/>
  <c r="D22" s="1"/>
  <c r="D24" s="1"/>
  <c r="J24"/>
  <c r="O24"/>
  <c r="C22" s="1"/>
  <c r="C24" s="1"/>
  <c r="K24"/>
  <c r="C26" s="1"/>
  <c r="M24"/>
  <c r="N24"/>
  <c r="U4"/>
  <c r="S4"/>
  <c r="Q4"/>
  <c r="W4"/>
  <c r="T4"/>
  <c r="V4"/>
  <c r="R4"/>
  <c r="C36" l="1"/>
  <c r="C23"/>
  <c r="W19"/>
  <c r="W13"/>
  <c r="V18"/>
  <c r="V16"/>
  <c r="U10"/>
  <c r="R12"/>
  <c r="U18"/>
  <c r="V17"/>
  <c r="Q13"/>
  <c r="V20"/>
  <c r="S12"/>
  <c r="R16"/>
  <c r="R20"/>
  <c r="W15"/>
  <c r="U21"/>
  <c r="T18"/>
  <c r="Q21"/>
  <c r="V13"/>
  <c r="T14"/>
  <c r="W20"/>
  <c r="Q11"/>
  <c r="U16"/>
  <c r="Q14"/>
  <c r="V15"/>
  <c r="Q19"/>
  <c r="Q18"/>
  <c r="R19"/>
  <c r="T21"/>
  <c r="R14"/>
  <c r="V19"/>
  <c r="R15"/>
  <c r="R11"/>
  <c r="U11"/>
  <c r="W16"/>
  <c r="W12"/>
  <c r="S14"/>
  <c r="T15"/>
  <c r="S16"/>
  <c r="T11"/>
  <c r="S21"/>
  <c r="V14"/>
  <c r="R18"/>
  <c r="R21"/>
  <c r="W21"/>
  <c r="Q20"/>
  <c r="W10"/>
  <c r="W17"/>
  <c r="R13"/>
  <c r="W14"/>
  <c r="T12"/>
  <c r="T17"/>
  <c r="S13"/>
  <c r="U19"/>
  <c r="U15"/>
  <c r="V21"/>
  <c r="Q10"/>
  <c r="U13"/>
  <c r="S15"/>
  <c r="T19"/>
  <c r="S18"/>
  <c r="T16"/>
  <c r="S10"/>
  <c r="U12"/>
  <c r="Q16"/>
  <c r="R10"/>
  <c r="S20"/>
  <c r="R17"/>
  <c r="V11"/>
  <c r="V10"/>
  <c r="S11"/>
  <c r="S17"/>
  <c r="W11"/>
  <c r="U17"/>
  <c r="U20"/>
  <c r="T13"/>
  <c r="V12"/>
  <c r="W18"/>
  <c r="Q17"/>
  <c r="S19"/>
  <c r="Q12"/>
  <c r="U14"/>
  <c r="T20"/>
  <c r="Q15"/>
  <c r="T10"/>
  <c r="U24" l="1"/>
  <c r="D25" s="1"/>
  <c r="Q24"/>
  <c r="C27"/>
  <c r="C28" s="1"/>
  <c r="C29" s="1"/>
  <c r="C30" s="1"/>
  <c r="C31" s="1"/>
  <c r="C32" s="1"/>
  <c r="C33" s="1"/>
  <c r="R24"/>
  <c r="V24"/>
  <c r="W24"/>
  <c r="T24"/>
  <c r="D26" s="1"/>
  <c r="S24"/>
  <c r="C34" l="1"/>
  <c r="C35" s="1"/>
  <c r="D36"/>
  <c r="D23"/>
  <c r="D27" l="1"/>
  <c r="D28" s="1"/>
  <c r="D29" s="1"/>
  <c r="D30" s="1"/>
  <c r="D31" s="1"/>
  <c r="D32" s="1"/>
  <c r="D33" s="1"/>
  <c r="D34" l="1"/>
  <c r="D35" s="1"/>
</calcChain>
</file>

<file path=xl/comments1.xml><?xml version="1.0" encoding="utf-8"?>
<comments xmlns="http://schemas.openxmlformats.org/spreadsheetml/2006/main">
  <authors>
    <author>作成者</author>
  </authors>
  <commentList>
    <comment ref="F5" authorId="0">
      <text>
        <r>
          <rPr>
            <b/>
            <sz val="9"/>
            <color indexed="81"/>
            <rFont val="ＭＳ Ｐゴシック"/>
            <family val="3"/>
            <charset val="128"/>
          </rPr>
          <t>食事効果はキャップ前提</t>
        </r>
      </text>
    </comment>
  </commentList>
</comments>
</file>

<file path=xl/sharedStrings.xml><?xml version="1.0" encoding="utf-8"?>
<sst xmlns="http://schemas.openxmlformats.org/spreadsheetml/2006/main" count="453" uniqueCount="257">
  <si>
    <t>AGI</t>
    <phoneticPr fontId="3"/>
  </si>
  <si>
    <t>頭</t>
  </si>
  <si>
    <t>胴</t>
  </si>
  <si>
    <t>両手</t>
  </si>
  <si>
    <t>両足</t>
  </si>
  <si>
    <t>両脚</t>
  </si>
  <si>
    <t>首</t>
  </si>
  <si>
    <t>腰</t>
  </si>
  <si>
    <t>背</t>
  </si>
  <si>
    <t>メイン</t>
    <phoneticPr fontId="3"/>
  </si>
  <si>
    <t>サブ</t>
    <phoneticPr fontId="3"/>
  </si>
  <si>
    <t>スキル</t>
    <phoneticPr fontId="3"/>
  </si>
  <si>
    <t>遠隔</t>
    <rPh sb="0" eb="2">
      <t>エンカク</t>
    </rPh>
    <phoneticPr fontId="3"/>
  </si>
  <si>
    <t>矢弾</t>
    <rPh sb="0" eb="1">
      <t>ヤ</t>
    </rPh>
    <rPh sb="1" eb="2">
      <t>タマ</t>
    </rPh>
    <phoneticPr fontId="3"/>
  </si>
  <si>
    <t>AGI</t>
    <phoneticPr fontId="3"/>
  </si>
  <si>
    <t>食事</t>
    <rPh sb="0" eb="2">
      <t>ショクジ</t>
    </rPh>
    <phoneticPr fontId="3"/>
  </si>
  <si>
    <t>名称</t>
    <rPh sb="0" eb="2">
      <t>メイショウ</t>
    </rPh>
    <phoneticPr fontId="3"/>
  </si>
  <si>
    <t>ラベル</t>
    <phoneticPr fontId="3"/>
  </si>
  <si>
    <t>D値</t>
    <rPh sb="1" eb="2">
      <t>チ</t>
    </rPh>
    <phoneticPr fontId="3"/>
  </si>
  <si>
    <t>メイン</t>
    <phoneticPr fontId="3"/>
  </si>
  <si>
    <t>サブ</t>
    <phoneticPr fontId="3"/>
  </si>
  <si>
    <t>耳</t>
    <phoneticPr fontId="3"/>
  </si>
  <si>
    <t>指</t>
    <phoneticPr fontId="3"/>
  </si>
  <si>
    <t>耳</t>
    <rPh sb="0" eb="1">
      <t>ミミ</t>
    </rPh>
    <phoneticPr fontId="3"/>
  </si>
  <si>
    <t>指</t>
    <rPh sb="0" eb="1">
      <t>ユビ</t>
    </rPh>
    <phoneticPr fontId="3"/>
  </si>
  <si>
    <t>属性ゴルゲット</t>
    <rPh sb="0" eb="2">
      <t>ゾクセイ</t>
    </rPh>
    <phoneticPr fontId="3"/>
  </si>
  <si>
    <t>属性ベルト</t>
    <rPh sb="0" eb="2">
      <t>ゾクセイ</t>
    </rPh>
    <phoneticPr fontId="3"/>
  </si>
  <si>
    <t>背</t>
    <rPh sb="0" eb="1">
      <t>セ</t>
    </rPh>
    <phoneticPr fontId="3"/>
  </si>
  <si>
    <t>合計</t>
    <rPh sb="0" eb="2">
      <t>ゴウケイ</t>
    </rPh>
    <phoneticPr fontId="3"/>
  </si>
  <si>
    <t>サポ侍 Hum</t>
  </si>
  <si>
    <t>サポ忍 Hum</t>
  </si>
  <si>
    <t>サポ侍 Elv</t>
  </si>
  <si>
    <t>サポ忍 Elv</t>
  </si>
  <si>
    <t>サポ侍 Tar</t>
  </si>
  <si>
    <t>サポ忍 Tar</t>
  </si>
  <si>
    <t>サポ侍 Mit</t>
  </si>
  <si>
    <t>サポ忍 Mit</t>
  </si>
  <si>
    <t>サポ侍 Gal</t>
  </si>
  <si>
    <t>サポ忍 Gal</t>
  </si>
  <si>
    <t>サポ種族</t>
    <rPh sb="2" eb="4">
      <t>シュゾク</t>
    </rPh>
    <phoneticPr fontId="3"/>
  </si>
  <si>
    <t>サポ種族</t>
    <rPh sb="2" eb="4">
      <t>シュゾク</t>
    </rPh>
    <phoneticPr fontId="3"/>
  </si>
  <si>
    <t>メリポ他</t>
    <rPh sb="3" eb="4">
      <t>タ</t>
    </rPh>
    <phoneticPr fontId="3"/>
  </si>
  <si>
    <t>なし</t>
    <phoneticPr fontId="3"/>
  </si>
  <si>
    <t>敵情報</t>
    <rPh sb="0" eb="1">
      <t>テキ</t>
    </rPh>
    <rPh sb="1" eb="3">
      <t>ジョウホウ</t>
    </rPh>
    <phoneticPr fontId="3"/>
  </si>
  <si>
    <t>PC共通</t>
    <rPh sb="2" eb="4">
      <t>キョウツウ</t>
    </rPh>
    <phoneticPr fontId="3"/>
  </si>
  <si>
    <t>個別</t>
    <rPh sb="0" eb="2">
      <t>コベツ</t>
    </rPh>
    <phoneticPr fontId="3"/>
  </si>
  <si>
    <t>スキル</t>
    <phoneticPr fontId="3"/>
  </si>
  <si>
    <t>オーグメント情報</t>
    <rPh sb="6" eb="8">
      <t>ジョウホウ</t>
    </rPh>
    <phoneticPr fontId="3"/>
  </si>
  <si>
    <t>頭</t>
    <rPh sb="0" eb="1">
      <t>アタマ</t>
    </rPh>
    <phoneticPr fontId="3"/>
  </si>
  <si>
    <t>胴</t>
    <rPh sb="0" eb="1">
      <t>ドウ</t>
    </rPh>
    <phoneticPr fontId="3"/>
  </si>
  <si>
    <t>両脚</t>
    <rPh sb="0" eb="2">
      <t>リョウアシ</t>
    </rPh>
    <phoneticPr fontId="3"/>
  </si>
  <si>
    <t>両足</t>
    <rPh sb="0" eb="1">
      <t>リョウ</t>
    </rPh>
    <rPh sb="1" eb="2">
      <t>アシ</t>
    </rPh>
    <phoneticPr fontId="3"/>
  </si>
  <si>
    <t>両手</t>
    <phoneticPr fontId="3"/>
  </si>
  <si>
    <t>なし</t>
  </si>
  <si>
    <t>ギフト</t>
    <phoneticPr fontId="3"/>
  </si>
  <si>
    <t>TPB</t>
    <phoneticPr fontId="3"/>
  </si>
  <si>
    <t>TPB</t>
    <phoneticPr fontId="3"/>
  </si>
  <si>
    <t>ヘルクリアベスト</t>
    <phoneticPr fontId="3"/>
  </si>
  <si>
    <t>ヘルクリアグローブ</t>
    <phoneticPr fontId="3"/>
  </si>
  <si>
    <t>ヘルクリアトラウザ</t>
    <phoneticPr fontId="3"/>
  </si>
  <si>
    <t>ヘルクリアブーツ</t>
    <phoneticPr fontId="3"/>
  </si>
  <si>
    <t>ヘルクリアヘルム</t>
    <phoneticPr fontId="3"/>
  </si>
  <si>
    <t>ヌスクシールド</t>
  </si>
  <si>
    <t>エスカンストーン</t>
  </si>
  <si>
    <t>カフカチナベルト</t>
  </si>
  <si>
    <t>カフカチナベルト+1</t>
  </si>
  <si>
    <t>ディンジルリング</t>
  </si>
  <si>
    <t>王将の指輪</t>
  </si>
  <si>
    <t>魔ダメ</t>
    <rPh sb="0" eb="1">
      <t>マ</t>
    </rPh>
    <phoneticPr fontId="3"/>
  </si>
  <si>
    <t>魔命</t>
    <rPh sb="0" eb="1">
      <t>マ</t>
    </rPh>
    <rPh sb="1" eb="2">
      <t>メイ</t>
    </rPh>
    <phoneticPr fontId="3"/>
  </si>
  <si>
    <t>魔攻</t>
    <rPh sb="0" eb="1">
      <t>マ</t>
    </rPh>
    <phoneticPr fontId="3"/>
  </si>
  <si>
    <t>WS＋</t>
    <phoneticPr fontId="3"/>
  </si>
  <si>
    <t>闇ア</t>
    <rPh sb="0" eb="1">
      <t>ヤミ</t>
    </rPh>
    <phoneticPr fontId="3"/>
  </si>
  <si>
    <t>魔ダメ</t>
    <rPh sb="0" eb="1">
      <t>マ</t>
    </rPh>
    <phoneticPr fontId="3"/>
  </si>
  <si>
    <t>魔命</t>
    <rPh sb="0" eb="1">
      <t>マ</t>
    </rPh>
    <rPh sb="1" eb="2">
      <t>メイ</t>
    </rPh>
    <phoneticPr fontId="3"/>
  </si>
  <si>
    <t>WS＋</t>
    <phoneticPr fontId="3"/>
  </si>
  <si>
    <t>闇ア</t>
    <rPh sb="0" eb="1">
      <t>ヤミ</t>
    </rPh>
    <phoneticPr fontId="3"/>
  </si>
  <si>
    <t>レデンセット１</t>
    <phoneticPr fontId="3"/>
  </si>
  <si>
    <t>レデンセット２</t>
    <phoneticPr fontId="3"/>
  </si>
  <si>
    <t>魔攻アップ</t>
    <rPh sb="0" eb="1">
      <t>マ</t>
    </rPh>
    <rPh sb="1" eb="2">
      <t>オサム</t>
    </rPh>
    <phoneticPr fontId="3"/>
  </si>
  <si>
    <t>魔命アップ</t>
    <rPh sb="0" eb="1">
      <t>マ</t>
    </rPh>
    <rPh sb="1" eb="2">
      <t>メイ</t>
    </rPh>
    <phoneticPr fontId="3"/>
  </si>
  <si>
    <t>サポ白 Hum</t>
    <rPh sb="2" eb="3">
      <t>シロ</t>
    </rPh>
    <phoneticPr fontId="3"/>
  </si>
  <si>
    <t>サポ白 Elv</t>
    <rPh sb="2" eb="3">
      <t>シロ</t>
    </rPh>
    <phoneticPr fontId="3"/>
  </si>
  <si>
    <t>サポ白 Tar</t>
    <rPh sb="2" eb="3">
      <t>シロ</t>
    </rPh>
    <phoneticPr fontId="3"/>
  </si>
  <si>
    <t>サポ白 Mit</t>
    <rPh sb="2" eb="3">
      <t>シロ</t>
    </rPh>
    <phoneticPr fontId="3"/>
  </si>
  <si>
    <t>サポ白 Gal</t>
    <rPh sb="2" eb="3">
      <t>シロ</t>
    </rPh>
    <phoneticPr fontId="3"/>
  </si>
  <si>
    <t>サムヌーハコート</t>
    <phoneticPr fontId="3"/>
  </si>
  <si>
    <t>レイライングローブ</t>
  </si>
  <si>
    <t>レイライングローブ</t>
    <phoneticPr fontId="3"/>
  </si>
  <si>
    <t>基礎D</t>
    <rPh sb="0" eb="2">
      <t>キソ</t>
    </rPh>
    <phoneticPr fontId="3"/>
  </si>
  <si>
    <t>ファントムロール</t>
    <phoneticPr fontId="3"/>
  </si>
  <si>
    <t>ウィザーズロール</t>
    <phoneticPr fontId="3"/>
  </si>
  <si>
    <t>ワーロックスロール</t>
  </si>
  <si>
    <t>闇曜日</t>
    <rPh sb="0" eb="1">
      <t>ヤミ</t>
    </rPh>
    <rPh sb="1" eb="3">
      <t>ヨウビ</t>
    </rPh>
    <phoneticPr fontId="3"/>
  </si>
  <si>
    <t>闇天候</t>
    <rPh sb="0" eb="1">
      <t>ヤミ</t>
    </rPh>
    <rPh sb="1" eb="3">
      <t>テンコウ</t>
    </rPh>
    <phoneticPr fontId="3"/>
  </si>
  <si>
    <t>セット１</t>
    <phoneticPr fontId="3"/>
  </si>
  <si>
    <t>セット２</t>
    <phoneticPr fontId="3"/>
  </si>
  <si>
    <t>ペアクレープ</t>
  </si>
  <si>
    <t>クレープベレレーヌ</t>
  </si>
  <si>
    <t>漁師風近東鍋</t>
  </si>
  <si>
    <t>漁師風近東鍋目付</t>
  </si>
  <si>
    <t>フォーマルハウト</t>
  </si>
  <si>
    <t>アルマゲドン</t>
  </si>
  <si>
    <t>デスペナルティ</t>
  </si>
  <si>
    <t>國崩し</t>
  </si>
  <si>
    <t>マーシャルガン</t>
  </si>
  <si>
    <t>ライヴブレット</t>
  </si>
  <si>
    <t>デベステトブレット</t>
  </si>
  <si>
    <t>オリハルブレット</t>
  </si>
  <si>
    <t>クロノブレット</t>
  </si>
  <si>
    <t>胡蝶TPB</t>
    <rPh sb="0" eb="2">
      <t>コチョウ</t>
    </rPh>
    <phoneticPr fontId="3"/>
  </si>
  <si>
    <t>胡蝶TPB魔攻</t>
    <rPh sb="0" eb="2">
      <t>コチョウ</t>
    </rPh>
    <rPh sb="5" eb="6">
      <t>マ</t>
    </rPh>
    <phoneticPr fontId="3"/>
  </si>
  <si>
    <t>フリオミシピアス</t>
    <phoneticPr fontId="3"/>
  </si>
  <si>
    <t>怯懦の耳</t>
  </si>
  <si>
    <t>ディグニタリピアス</t>
  </si>
  <si>
    <t>AGI+4のピアス</t>
    <phoneticPr fontId="3"/>
  </si>
  <si>
    <t>アルコンリング</t>
  </si>
  <si>
    <t>ＡＤリング+1</t>
  </si>
  <si>
    <t>ＫＲリング+1</t>
  </si>
  <si>
    <t>アルビナリング+1</t>
  </si>
  <si>
    <t>星月の指輪+1</t>
  </si>
  <si>
    <t>サンクトネックレス</t>
  </si>
  <si>
    <t>属性帯</t>
    <rPh sb="0" eb="2">
      <t>ゾクセイ</t>
    </rPh>
    <rPh sb="2" eb="3">
      <t>オビ</t>
    </rPh>
    <phoneticPr fontId="3"/>
  </si>
  <si>
    <t>妖蟲の髪飾り+1</t>
  </si>
  <si>
    <t>ＬＫトリコルヌ+3</t>
  </si>
  <si>
    <t>サムヌーハコート</t>
    <phoneticPr fontId="3"/>
  </si>
  <si>
    <t>ＬＫフラック+3</t>
  </si>
  <si>
    <t>カマインスケイル+1D</t>
    <phoneticPr fontId="3"/>
  </si>
  <si>
    <t>コンビ</t>
    <phoneticPr fontId="3"/>
  </si>
  <si>
    <t>魔命評価(スキル)</t>
    <rPh sb="0" eb="1">
      <t>マ</t>
    </rPh>
    <rPh sb="1" eb="2">
      <t>メイ</t>
    </rPh>
    <rPh sb="2" eb="4">
      <t>ヒョウカ</t>
    </rPh>
    <phoneticPr fontId="3"/>
  </si>
  <si>
    <t>魔命評価(AGI)</t>
    <rPh sb="0" eb="1">
      <t>マ</t>
    </rPh>
    <rPh sb="1" eb="2">
      <t>メイ</t>
    </rPh>
    <rPh sb="2" eb="4">
      <t>ヒョウカ</t>
    </rPh>
    <phoneticPr fontId="3"/>
  </si>
  <si>
    <t>ＬＫガントリー+3</t>
  </si>
  <si>
    <t>カマインフィンガ+1D</t>
    <phoneticPr fontId="3"/>
  </si>
  <si>
    <t>ＬＫトルーズ+3</t>
  </si>
  <si>
    <t>ＬＫブーツ+3</t>
  </si>
  <si>
    <t>ＬＡブーツ+3</t>
  </si>
  <si>
    <t>AFコンビネーション</t>
    <phoneticPr fontId="3"/>
  </si>
  <si>
    <t>ムンムコンビネーション</t>
    <phoneticPr fontId="3"/>
  </si>
  <si>
    <t>TP</t>
    <phoneticPr fontId="3"/>
  </si>
  <si>
    <t>WSD</t>
    <phoneticPr fontId="3"/>
  </si>
  <si>
    <t>倍率</t>
    <rPh sb="0" eb="2">
      <t>バイリツ</t>
    </rPh>
    <phoneticPr fontId="3"/>
  </si>
  <si>
    <t>TP</t>
    <phoneticPr fontId="3"/>
  </si>
  <si>
    <t>系統係数</t>
    <rPh sb="0" eb="2">
      <t>ケイトウ</t>
    </rPh>
    <rPh sb="2" eb="4">
      <t>ケイスウ</t>
    </rPh>
    <phoneticPr fontId="15"/>
  </si>
  <si>
    <t>魔攻防</t>
    <rPh sb="0" eb="1">
      <t>マ</t>
    </rPh>
    <rPh sb="1" eb="3">
      <t>コウボウ</t>
    </rPh>
    <phoneticPr fontId="15"/>
  </si>
  <si>
    <t>基礎ダメ</t>
    <rPh sb="0" eb="2">
      <t>キソ</t>
    </rPh>
    <phoneticPr fontId="15"/>
  </si>
  <si>
    <t>×WSダメージ</t>
    <phoneticPr fontId="15"/>
  </si>
  <si>
    <t>×闇アフィニティ</t>
    <rPh sb="1" eb="2">
      <t>ヤミ</t>
    </rPh>
    <phoneticPr fontId="15"/>
  </si>
  <si>
    <t>×闇曜日＆天候</t>
    <rPh sb="1" eb="2">
      <t>ヤミ</t>
    </rPh>
    <rPh sb="2" eb="4">
      <t>ヨウビ</t>
    </rPh>
    <rPh sb="5" eb="7">
      <t>テンコウ</t>
    </rPh>
    <phoneticPr fontId="15"/>
  </si>
  <si>
    <t>×魔攻防</t>
    <rPh sb="1" eb="2">
      <t>マ</t>
    </rPh>
    <rPh sb="2" eb="4">
      <t>コウボウ</t>
    </rPh>
    <phoneticPr fontId="15"/>
  </si>
  <si>
    <t>ミシックボーナス</t>
    <phoneticPr fontId="3"/>
  </si>
  <si>
    <t>魔命（相対比較用）</t>
    <rPh sb="0" eb="1">
      <t>マ</t>
    </rPh>
    <rPh sb="1" eb="2">
      <t>メイ</t>
    </rPh>
    <rPh sb="3" eb="5">
      <t>ソウタイ</t>
    </rPh>
    <rPh sb="5" eb="8">
      <t>ヒカクヨウ</t>
    </rPh>
    <phoneticPr fontId="3"/>
  </si>
  <si>
    <t>ダメージ</t>
    <phoneticPr fontId="3"/>
  </si>
  <si>
    <t>カムラスWSダメAGI</t>
    <phoneticPr fontId="3"/>
  </si>
  <si>
    <t>属性装備係数</t>
    <rPh sb="0" eb="2">
      <t>ゾクセイ</t>
    </rPh>
    <rPh sb="2" eb="4">
      <t>ソウビ</t>
    </rPh>
    <rPh sb="4" eb="6">
      <t>ケイスウ</t>
    </rPh>
    <phoneticPr fontId="3"/>
  </si>
  <si>
    <t>敵魔防</t>
    <rPh sb="0" eb="1">
      <t>テキ</t>
    </rPh>
    <rPh sb="1" eb="2">
      <t>マ</t>
    </rPh>
    <rPh sb="2" eb="3">
      <t>ボウ</t>
    </rPh>
    <phoneticPr fontId="3"/>
  </si>
  <si>
    <t>カムラスマント予備</t>
    <rPh sb="7" eb="9">
      <t>ヨビ</t>
    </rPh>
    <phoneticPr fontId="3"/>
  </si>
  <si>
    <t>敵INT</t>
    <rPh sb="0" eb="1">
      <t>テキ</t>
    </rPh>
    <phoneticPr fontId="3"/>
  </si>
  <si>
    <t>ウィザーズ</t>
    <phoneticPr fontId="3"/>
  </si>
  <si>
    <t>ワーロックス</t>
    <phoneticPr fontId="3"/>
  </si>
  <si>
    <t>ロールインデックス</t>
    <phoneticPr fontId="3"/>
  </si>
  <si>
    <t>ＬＡフラック+3</t>
    <phoneticPr fontId="3"/>
  </si>
  <si>
    <t>アトヤク魔命</t>
    <rPh sb="4" eb="5">
      <t>マ</t>
    </rPh>
    <rPh sb="5" eb="6">
      <t>メイ</t>
    </rPh>
    <phoneticPr fontId="3"/>
  </si>
  <si>
    <t>アトヤク魔命魔攻</t>
    <rPh sb="4" eb="5">
      <t>マ</t>
    </rPh>
    <rPh sb="5" eb="6">
      <t>メイ</t>
    </rPh>
    <rPh sb="6" eb="7">
      <t>マ</t>
    </rPh>
    <rPh sb="7" eb="8">
      <t>コウ</t>
    </rPh>
    <phoneticPr fontId="3"/>
  </si>
  <si>
    <t>サポ赤 Hum</t>
    <rPh sb="2" eb="3">
      <t>アカ</t>
    </rPh>
    <phoneticPr fontId="3"/>
  </si>
  <si>
    <t>サポ赤 Elv</t>
    <rPh sb="2" eb="3">
      <t>アカ</t>
    </rPh>
    <phoneticPr fontId="3"/>
  </si>
  <si>
    <t>サポ赤 Tar</t>
    <rPh sb="2" eb="3">
      <t>アカ</t>
    </rPh>
    <phoneticPr fontId="3"/>
  </si>
  <si>
    <t>サポ赤 Mit</t>
    <rPh sb="2" eb="3">
      <t>アカ</t>
    </rPh>
    <phoneticPr fontId="3"/>
  </si>
  <si>
    <t>サポ赤 Gal</t>
    <rPh sb="2" eb="3">
      <t>アカ</t>
    </rPh>
    <phoneticPr fontId="3"/>
  </si>
  <si>
    <t>P1</t>
    <phoneticPr fontId="3"/>
  </si>
  <si>
    <t>P2</t>
    <phoneticPr fontId="3"/>
  </si>
  <si>
    <t>P3</t>
    <phoneticPr fontId="3"/>
  </si>
  <si>
    <t>P4</t>
    <phoneticPr fontId="3"/>
  </si>
  <si>
    <t>P5</t>
  </si>
  <si>
    <t>P6</t>
  </si>
  <si>
    <t>P7</t>
  </si>
  <si>
    <t>P8</t>
  </si>
  <si>
    <t>P9</t>
  </si>
  <si>
    <t>P10</t>
  </si>
  <si>
    <t>P11</t>
  </si>
  <si>
    <t>P1 JB</t>
    <phoneticPr fontId="3"/>
  </si>
  <si>
    <t>P2 JB</t>
    <phoneticPr fontId="3"/>
  </si>
  <si>
    <t>P3 JB</t>
  </si>
  <si>
    <t>P4 JB</t>
  </si>
  <si>
    <t>P5 JB</t>
  </si>
  <si>
    <t>P6 JB</t>
  </si>
  <si>
    <t>P7 JB</t>
  </si>
  <si>
    <t>P8 JB</t>
  </si>
  <si>
    <t>P9 JB</t>
  </si>
  <si>
    <t>P10 JB</t>
  </si>
  <si>
    <t>P11 JB</t>
  </si>
  <si>
    <t>レテクバングル</t>
    <phoneticPr fontId="3"/>
  </si>
  <si>
    <t>レテクバングル+1</t>
    <phoneticPr fontId="3"/>
  </si>
  <si>
    <t>プルートスタッフ</t>
    <phoneticPr fontId="3"/>
  </si>
  <si>
    <t>チャトヤンスタッフ</t>
    <phoneticPr fontId="3"/>
  </si>
  <si>
    <t>ニオビッドストラップ</t>
    <phoneticPr fontId="3"/>
  </si>
  <si>
    <t>ニャメヘルムB20</t>
    <phoneticPr fontId="3"/>
  </si>
  <si>
    <t>ニャメヘルムC20</t>
    <phoneticPr fontId="3"/>
  </si>
  <si>
    <t>ニャメメイルB20</t>
    <phoneticPr fontId="3"/>
  </si>
  <si>
    <t>ニャメメイルC20</t>
    <phoneticPr fontId="3"/>
  </si>
  <si>
    <t>ニャメガントレB20</t>
    <phoneticPr fontId="3"/>
  </si>
  <si>
    <t>ニャメガントレC20</t>
    <phoneticPr fontId="3"/>
  </si>
  <si>
    <t>ニャメフランチャB20</t>
    <phoneticPr fontId="3"/>
  </si>
  <si>
    <t>ニャメフランチャC20</t>
    <phoneticPr fontId="3"/>
  </si>
  <si>
    <t>ニャメソルレットB20</t>
    <phoneticPr fontId="3"/>
  </si>
  <si>
    <t>ニャメソルレットC20</t>
    <phoneticPr fontId="3"/>
  </si>
  <si>
    <t>エパミノダスリング</t>
  </si>
  <si>
    <t>コモドアチャーム+1</t>
    <phoneticPr fontId="3"/>
  </si>
  <si>
    <t>コモドアチャーム+2</t>
    <phoneticPr fontId="3"/>
  </si>
  <si>
    <t>×属性杖</t>
    <rPh sb="1" eb="3">
      <t>ゾクセイ</t>
    </rPh>
    <rPh sb="3" eb="4">
      <t>ツエ</t>
    </rPh>
    <phoneticPr fontId="15"/>
  </si>
  <si>
    <t>×ミシックボーナス</t>
    <phoneticPr fontId="3"/>
  </si>
  <si>
    <t>×残魂強化枠</t>
    <rPh sb="1" eb="2">
      <t>ザン</t>
    </rPh>
    <rPh sb="2" eb="3">
      <t>タマシイ</t>
    </rPh>
    <rPh sb="3" eb="5">
      <t>キョウカ</t>
    </rPh>
    <rPh sb="5" eb="6">
      <t>ワク</t>
    </rPh>
    <phoneticPr fontId="3"/>
  </si>
  <si>
    <t>最新装備を追加</t>
    <rPh sb="0" eb="4">
      <t>サイシンソウビ</t>
    </rPh>
    <rPh sb="5" eb="7">
      <t>ツイカ</t>
    </rPh>
    <phoneticPr fontId="20"/>
  </si>
  <si>
    <t>旧装備を削除</t>
    <rPh sb="0" eb="3">
      <t>キュウソウビ</t>
    </rPh>
    <rPh sb="4" eb="6">
      <t>サクジョ</t>
    </rPh>
    <phoneticPr fontId="20"/>
  </si>
  <si>
    <t>デスペナルティR15</t>
    <phoneticPr fontId="3"/>
  </si>
  <si>
    <t>デマサルデーゲン+1R15</t>
    <phoneticPr fontId="3"/>
  </si>
  <si>
    <t>ロスタム</t>
    <phoneticPr fontId="3"/>
  </si>
  <si>
    <t>トーレット</t>
    <phoneticPr fontId="3"/>
  </si>
  <si>
    <t>ネイグリング</t>
    <phoneticPr fontId="3"/>
  </si>
  <si>
    <t>ラヌンナイフ</t>
    <phoneticPr fontId="3"/>
  </si>
  <si>
    <t>TP倍率の計算精度UP</t>
    <rPh sb="2" eb="4">
      <t>バイリツ</t>
    </rPh>
    <rPh sb="5" eb="7">
      <t>ケイサン</t>
    </rPh>
    <rPh sb="7" eb="9">
      <t>セイド</t>
    </rPh>
    <phoneticPr fontId="20"/>
  </si>
  <si>
    <t>計算順を変更</t>
    <rPh sb="0" eb="2">
      <t>ケイサン</t>
    </rPh>
    <rPh sb="2" eb="3">
      <t>ジュン</t>
    </rPh>
    <rPh sb="4" eb="6">
      <t>ヘンコウ</t>
    </rPh>
    <phoneticPr fontId="20"/>
  </si>
  <si>
    <t>デスペナルティR15</t>
  </si>
  <si>
    <t>フォーマルハウトR15</t>
  </si>
  <si>
    <t>フォーマルハウトR15</t>
    <phoneticPr fontId="3"/>
  </si>
  <si>
    <t>アルマゲドンR15</t>
    <phoneticPr fontId="3"/>
  </si>
  <si>
    <t>ニャメヘルムB30</t>
    <phoneticPr fontId="3"/>
  </si>
  <si>
    <t>ニャメヘルムC30</t>
    <phoneticPr fontId="3"/>
  </si>
  <si>
    <t>ニャメメイルB30</t>
    <phoneticPr fontId="3"/>
  </si>
  <si>
    <t>ニャメメイルC30</t>
    <phoneticPr fontId="3"/>
  </si>
  <si>
    <t>ニャメガントレB30</t>
    <phoneticPr fontId="3"/>
  </si>
  <si>
    <t>ニャメガントレC30</t>
    <phoneticPr fontId="3"/>
  </si>
  <si>
    <t>ニャメフランチャB30</t>
    <phoneticPr fontId="3"/>
  </si>
  <si>
    <t>ニャメフランチャC30</t>
    <phoneticPr fontId="3"/>
  </si>
  <si>
    <t>ニャメソルレットB30</t>
    <phoneticPr fontId="3"/>
  </si>
  <si>
    <t>ニャメソルレットC30</t>
    <phoneticPr fontId="3"/>
  </si>
  <si>
    <t>イケンガハット30</t>
    <phoneticPr fontId="3"/>
  </si>
  <si>
    <t>ベーテルペンダント</t>
  </si>
  <si>
    <t>スクリミルコード</t>
  </si>
  <si>
    <t>スクリミルコード+1</t>
    <phoneticPr fontId="3"/>
  </si>
  <si>
    <t>オルペウスMIN</t>
    <phoneticPr fontId="3"/>
  </si>
  <si>
    <t>オルペウスMAX</t>
    <phoneticPr fontId="3"/>
  </si>
  <si>
    <t>コーネリアリング</t>
    <phoneticPr fontId="3"/>
  </si>
  <si>
    <t>メダダリング</t>
  </si>
  <si>
    <t>ＣＳガントリー+3</t>
    <phoneticPr fontId="3"/>
  </si>
  <si>
    <t>ブドウ大福</t>
  </si>
  <si>
    <t>ブドウ大福+1</t>
    <phoneticPr fontId="3"/>
  </si>
  <si>
    <t>雪山の欠氷</t>
  </si>
  <si>
    <t>冬物語</t>
  </si>
  <si>
    <t>アルタナ全席</t>
  </si>
  <si>
    <t>アルタナ全席+1</t>
    <phoneticPr fontId="3"/>
  </si>
  <si>
    <t>アルタナ全席+2</t>
    <phoneticPr fontId="3"/>
  </si>
  <si>
    <t>シャスーピアス+2MIN</t>
    <phoneticPr fontId="3"/>
  </si>
  <si>
    <t>シャスーピアス+2MAX</t>
    <phoneticPr fontId="3"/>
  </si>
  <si>
    <t>マスターレベル</t>
    <phoneticPr fontId="3"/>
  </si>
  <si>
    <t>スキル</t>
    <phoneticPr fontId="3"/>
  </si>
  <si>
    <t>AGI</t>
    <phoneticPr fontId="3"/>
  </si>
  <si>
    <t>memo
・モグガーデン チャチャルンの応援は忘れず足そう！
・Ｄ裏の石像は魔防122(英雄なき時代の英雄さんより)
・ロンフォのウサギはINT6 魔防100</t>
    <phoneticPr fontId="3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</si>
</sst>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_ "/>
    <numFmt numFmtId="178" formatCode="0.00_);[Red]\(0.00\)"/>
    <numFmt numFmtId="179" formatCode="0_);[Red]\(0\)"/>
  </numFmts>
  <fonts count="21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8"/>
      <color theme="4"/>
      <name val="ＭＳ Ｐゴシック"/>
      <family val="3"/>
      <charset val="128"/>
    </font>
    <font>
      <b/>
      <sz val="11"/>
      <color theme="0" tint="-0.3499862666707357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sz val="6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 style="thin">
        <color auto="1"/>
      </left>
      <right style="thin">
        <color theme="8" tint="0.79998168889431442"/>
      </right>
      <top style="thin">
        <color auto="1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auto="1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auto="1"/>
      </right>
      <top style="thin">
        <color auto="1"/>
      </top>
      <bottom style="thin">
        <color theme="8" tint="0.79998168889431442"/>
      </bottom>
      <diagonal/>
    </border>
    <border>
      <left style="thin">
        <color auto="1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auto="1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auto="1"/>
      </left>
      <right style="thin">
        <color theme="8" tint="0.79998168889431442"/>
      </right>
      <top style="thin">
        <color theme="8" tint="0.79998168889431442"/>
      </top>
      <bottom style="thin">
        <color auto="1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auto="1"/>
      </bottom>
      <diagonal/>
    </border>
    <border>
      <left style="thin">
        <color theme="8" tint="0.79998168889431442"/>
      </left>
      <right style="thin">
        <color auto="1"/>
      </right>
      <top style="thin">
        <color theme="8" tint="0.79998168889431442"/>
      </top>
      <bottom style="thin">
        <color auto="1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auto="1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auto="1"/>
      </right>
      <top/>
      <bottom style="thin">
        <color theme="8" tint="0.79998168889431442"/>
      </bottom>
      <diagonal/>
    </border>
    <border>
      <left style="thin">
        <color auto="1"/>
      </left>
      <right style="thin">
        <color theme="8" tint="0.79998168889431442"/>
      </right>
      <top style="thin">
        <color auto="1"/>
      </top>
      <bottom style="thin">
        <color auto="1"/>
      </bottom>
      <diagonal/>
    </border>
    <border>
      <left style="thin">
        <color theme="8" tint="0.7999816888943144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8" tint="0.79998168889431442"/>
      </right>
      <top style="thin">
        <color theme="8" tint="0.79998168889431442"/>
      </top>
      <bottom/>
      <diagonal/>
    </border>
    <border>
      <left/>
      <right style="thin">
        <color theme="8" tint="0.79998168889431442"/>
      </right>
      <top/>
      <bottom/>
      <diagonal/>
    </border>
    <border>
      <left style="thin">
        <color auto="1"/>
      </left>
      <right/>
      <top/>
      <bottom style="thin">
        <color theme="8" tint="0.79998168889431442"/>
      </bottom>
      <diagonal/>
    </border>
    <border>
      <left style="thin">
        <color auto="1"/>
      </left>
      <right/>
      <top style="thin">
        <color theme="8" tint="0.79998168889431442"/>
      </top>
      <bottom style="thin">
        <color theme="8" tint="0.79998168889431442"/>
      </bottom>
      <diagonal/>
    </border>
    <border>
      <left style="thin">
        <color auto="1"/>
      </left>
      <right/>
      <top style="thin">
        <color theme="8" tint="0.79998168889431442"/>
      </top>
      <bottom/>
      <diagonal/>
    </border>
    <border>
      <left style="thin">
        <color auto="1"/>
      </left>
      <right style="thin">
        <color theme="8" tint="0.79998168889431442"/>
      </right>
      <top/>
      <bottom/>
      <diagonal/>
    </border>
    <border>
      <left style="thin">
        <color theme="8" tint="0.79998168889431442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theme="8" tint="0.79998168889431442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8" tint="0.79998168889431442"/>
      </bottom>
      <diagonal/>
    </border>
    <border>
      <left style="thin">
        <color auto="1"/>
      </left>
      <right/>
      <top style="thin">
        <color theme="8" tint="0.79998168889431442"/>
      </top>
      <bottom style="thin">
        <color auto="1"/>
      </bottom>
      <diagonal/>
    </border>
    <border>
      <left style="thin">
        <color theme="8" tint="0.79998168889431442"/>
      </left>
      <right style="thin">
        <color auto="1"/>
      </right>
      <top style="thin">
        <color theme="8" tint="0.7999816888943144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8" tint="0.79998168889431442"/>
      </right>
      <top style="thin">
        <color theme="8" tint="0.79998168889431442"/>
      </top>
      <bottom style="medium">
        <color auto="1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medium">
        <color auto="1"/>
      </bottom>
      <diagonal/>
    </border>
    <border>
      <left style="thin">
        <color theme="8" tint="0.79998168889431442"/>
      </left>
      <right style="medium">
        <color auto="1"/>
      </right>
      <top style="thin">
        <color theme="8" tint="0.79998168889431442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 style="thin">
        <color theme="8" tint="0.79998168889431442"/>
      </left>
      <right style="medium">
        <color auto="1"/>
      </right>
      <top/>
      <bottom style="thin">
        <color theme="8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14" fillId="0" borderId="0"/>
    <xf numFmtId="0" fontId="14" fillId="0" borderId="0"/>
    <xf numFmtId="0" fontId="14" fillId="0" borderId="0"/>
  </cellStyleXfs>
  <cellXfs count="172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Font="1" applyFill="1" applyBorder="1"/>
    <xf numFmtId="0" fontId="0" fillId="0" borderId="0" xfId="0" applyFill="1" applyBorder="1"/>
    <xf numFmtId="176" fontId="5" fillId="2" borderId="15" xfId="0" applyNumberFormat="1" applyFont="1" applyFill="1" applyBorder="1" applyProtection="1">
      <protection locked="0"/>
    </xf>
    <xf numFmtId="176" fontId="5" fillId="2" borderId="18" xfId="0" applyNumberFormat="1" applyFont="1" applyFill="1" applyBorder="1" applyProtection="1">
      <protection locked="0"/>
    </xf>
    <xf numFmtId="9" fontId="5" fillId="2" borderId="15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5" xfId="0" applyFill="1" applyBorder="1" applyProtection="1">
      <protection locked="0"/>
    </xf>
    <xf numFmtId="176" fontId="0" fillId="2" borderId="24" xfId="0" applyNumberFormat="1" applyFill="1" applyBorder="1" applyProtection="1">
      <protection locked="0"/>
    </xf>
    <xf numFmtId="176" fontId="0" fillId="2" borderId="31" xfId="0" applyNumberFormat="1" applyFill="1" applyBorder="1" applyProtection="1">
      <protection locked="0"/>
    </xf>
    <xf numFmtId="0" fontId="4" fillId="2" borderId="9" xfId="0" applyNumberFormat="1" applyFont="1" applyFill="1" applyBorder="1" applyProtection="1">
      <protection locked="0"/>
    </xf>
    <xf numFmtId="0" fontId="4" fillId="2" borderId="9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0" fillId="2" borderId="37" xfId="0" applyFill="1" applyBorder="1" applyAlignment="1" applyProtection="1">
      <protection locked="0"/>
    </xf>
    <xf numFmtId="0" fontId="4" fillId="2" borderId="17" xfId="0" applyNumberFormat="1" applyFont="1" applyFill="1" applyBorder="1" applyAlignment="1" applyProtection="1">
      <protection locked="0"/>
    </xf>
    <xf numFmtId="0" fontId="0" fillId="0" borderId="0" xfId="0" applyProtection="1"/>
    <xf numFmtId="176" fontId="0" fillId="0" borderId="0" xfId="0" applyNumberFormat="1" applyProtection="1"/>
    <xf numFmtId="177" fontId="0" fillId="0" borderId="0" xfId="0" applyNumberFormat="1" applyProtection="1"/>
    <xf numFmtId="0" fontId="0" fillId="3" borderId="8" xfId="0" applyFill="1" applyBorder="1" applyProtection="1"/>
    <xf numFmtId="0" fontId="6" fillId="3" borderId="14" xfId="0" applyFont="1" applyFill="1" applyBorder="1" applyProtection="1"/>
    <xf numFmtId="0" fontId="0" fillId="3" borderId="0" xfId="0" applyFill="1" applyBorder="1" applyProtection="1"/>
    <xf numFmtId="0" fontId="0" fillId="3" borderId="1" xfId="0" applyFill="1" applyBorder="1" applyProtection="1"/>
    <xf numFmtId="0" fontId="6" fillId="3" borderId="22" xfId="0" applyFont="1" applyFill="1" applyBorder="1" applyProtection="1"/>
    <xf numFmtId="0" fontId="11" fillId="3" borderId="24" xfId="0" applyFont="1" applyFill="1" applyBorder="1" applyProtection="1"/>
    <xf numFmtId="177" fontId="11" fillId="3" borderId="24" xfId="0" applyNumberFormat="1" applyFont="1" applyFill="1" applyBorder="1" applyProtection="1"/>
    <xf numFmtId="0" fontId="11" fillId="3" borderId="31" xfId="0" applyFont="1" applyFill="1" applyBorder="1" applyProtection="1"/>
    <xf numFmtId="0" fontId="11" fillId="3" borderId="23" xfId="0" applyFont="1" applyFill="1" applyBorder="1" applyProtection="1"/>
    <xf numFmtId="0" fontId="6" fillId="3" borderId="16" xfId="0" applyFont="1" applyFill="1" applyBorder="1" applyProtection="1"/>
    <xf numFmtId="0" fontId="6" fillId="3" borderId="27" xfId="0" applyFont="1" applyFill="1" applyBorder="1" applyProtection="1"/>
    <xf numFmtId="176" fontId="6" fillId="3" borderId="10" xfId="0" applyNumberFormat="1" applyFont="1" applyFill="1" applyBorder="1" applyProtection="1"/>
    <xf numFmtId="0" fontId="0" fillId="3" borderId="4" xfId="0" applyFill="1" applyBorder="1" applyProtection="1"/>
    <xf numFmtId="0" fontId="6" fillId="3" borderId="28" xfId="0" applyFont="1" applyFill="1" applyBorder="1" applyProtection="1"/>
    <xf numFmtId="176" fontId="6" fillId="3" borderId="9" xfId="0" applyNumberFormat="1" applyFont="1" applyFill="1" applyBorder="1" applyProtection="1"/>
    <xf numFmtId="176" fontId="6" fillId="3" borderId="15" xfId="0" applyNumberFormat="1" applyFont="1" applyFill="1" applyBorder="1" applyProtection="1"/>
    <xf numFmtId="0" fontId="0" fillId="3" borderId="26" xfId="0" applyFill="1" applyBorder="1" applyProtection="1"/>
    <xf numFmtId="176" fontId="7" fillId="3" borderId="15" xfId="0" applyNumberFormat="1" applyFont="1" applyFill="1" applyBorder="1" applyProtection="1"/>
    <xf numFmtId="176" fontId="6" fillId="3" borderId="21" xfId="0" applyNumberFormat="1" applyFont="1" applyFill="1" applyBorder="1" applyProtection="1"/>
    <xf numFmtId="0" fontId="0" fillId="3" borderId="6" xfId="0" applyFill="1" applyBorder="1" applyProtection="1"/>
    <xf numFmtId="0" fontId="6" fillId="3" borderId="29" xfId="0" applyFont="1" applyFill="1" applyBorder="1" applyProtection="1"/>
    <xf numFmtId="176" fontId="6" fillId="3" borderId="19" xfId="0" applyNumberFormat="1" applyFont="1" applyFill="1" applyBorder="1" applyProtection="1"/>
    <xf numFmtId="176" fontId="6" fillId="3" borderId="18" xfId="0" applyNumberFormat="1" applyFont="1" applyFill="1" applyBorder="1" applyProtection="1"/>
    <xf numFmtId="0" fontId="6" fillId="3" borderId="1" xfId="0" applyFont="1" applyFill="1" applyBorder="1" applyProtection="1"/>
    <xf numFmtId="0" fontId="0" fillId="3" borderId="22" xfId="0" applyFill="1" applyBorder="1" applyProtection="1"/>
    <xf numFmtId="0" fontId="6" fillId="3" borderId="30" xfId="0" applyFont="1" applyFill="1" applyBorder="1" applyProtection="1"/>
    <xf numFmtId="176" fontId="0" fillId="3" borderId="24" xfId="0" applyNumberFormat="1" applyFill="1" applyBorder="1" applyProtection="1"/>
    <xf numFmtId="176" fontId="8" fillId="3" borderId="8" xfId="0" applyNumberFormat="1" applyFont="1" applyFill="1" applyBorder="1" applyProtection="1"/>
    <xf numFmtId="177" fontId="0" fillId="3" borderId="8" xfId="0" applyNumberFormat="1" applyFill="1" applyBorder="1" applyProtection="1"/>
    <xf numFmtId="0" fontId="0" fillId="3" borderId="32" xfId="0" applyFill="1" applyBorder="1" applyProtection="1"/>
    <xf numFmtId="0" fontId="6" fillId="3" borderId="33" xfId="0" applyFont="1" applyFill="1" applyBorder="1" applyProtection="1"/>
    <xf numFmtId="0" fontId="4" fillId="3" borderId="11" xfId="0" applyFont="1" applyFill="1" applyBorder="1" applyAlignment="1" applyProtection="1"/>
    <xf numFmtId="0" fontId="0" fillId="3" borderId="13" xfId="0" applyFill="1" applyBorder="1" applyAlignment="1" applyProtection="1"/>
    <xf numFmtId="0" fontId="4" fillId="3" borderId="14" xfId="0" applyFont="1" applyFill="1" applyBorder="1" applyAlignment="1" applyProtection="1"/>
    <xf numFmtId="0" fontId="4" fillId="3" borderId="16" xfId="0" applyFont="1" applyFill="1" applyBorder="1" applyAlignment="1" applyProtection="1"/>
    <xf numFmtId="0" fontId="7" fillId="3" borderId="0" xfId="0" applyNumberFormat="1" applyFont="1" applyFill="1" applyBorder="1" applyAlignment="1" applyProtection="1">
      <alignment horizontal="center"/>
    </xf>
    <xf numFmtId="0" fontId="6" fillId="3" borderId="28" xfId="0" applyFont="1" applyFill="1" applyBorder="1" applyAlignment="1" applyProtection="1"/>
    <xf numFmtId="0" fontId="0" fillId="3" borderId="5" xfId="0" applyFill="1" applyBorder="1" applyProtection="1"/>
    <xf numFmtId="0" fontId="6" fillId="3" borderId="35" xfId="0" applyFont="1" applyFill="1" applyBorder="1" applyAlignment="1" applyProtection="1"/>
    <xf numFmtId="0" fontId="4" fillId="2" borderId="12" xfId="0" applyNumberFormat="1" applyFont="1" applyFill="1" applyBorder="1" applyAlignment="1" applyProtection="1">
      <protection locked="0"/>
    </xf>
    <xf numFmtId="0" fontId="6" fillId="3" borderId="35" xfId="0" applyFont="1" applyFill="1" applyBorder="1" applyProtection="1"/>
    <xf numFmtId="0" fontId="2" fillId="0" borderId="0" xfId="1">
      <alignment vertical="center"/>
    </xf>
    <xf numFmtId="0" fontId="14" fillId="0" borderId="0" xfId="3"/>
    <xf numFmtId="0" fontId="4" fillId="0" borderId="0" xfId="3" applyFont="1"/>
    <xf numFmtId="0" fontId="2" fillId="0" borderId="0" xfId="1">
      <alignment vertical="center"/>
    </xf>
    <xf numFmtId="0" fontId="14" fillId="0" borderId="0" xfId="2"/>
    <xf numFmtId="0" fontId="4" fillId="0" borderId="0" xfId="2" applyFont="1"/>
    <xf numFmtId="0" fontId="14" fillId="0" borderId="0" xfId="4"/>
    <xf numFmtId="0" fontId="4" fillId="0" borderId="0" xfId="4" applyFont="1"/>
    <xf numFmtId="0" fontId="13" fillId="3" borderId="22" xfId="0" applyFont="1" applyFill="1" applyBorder="1" applyProtection="1"/>
    <xf numFmtId="0" fontId="0" fillId="3" borderId="0" xfId="0" applyFill="1" applyBorder="1" applyAlignment="1" applyProtection="1"/>
    <xf numFmtId="0" fontId="4" fillId="2" borderId="15" xfId="0" applyNumberFormat="1" applyFont="1" applyFill="1" applyBorder="1" applyAlignment="1" applyProtection="1">
      <protection locked="0"/>
    </xf>
    <xf numFmtId="0" fontId="4" fillId="2" borderId="18" xfId="0" applyNumberFormat="1" applyFont="1" applyFill="1" applyBorder="1" applyAlignment="1" applyProtection="1">
      <protection locked="0"/>
    </xf>
    <xf numFmtId="0" fontId="13" fillId="3" borderId="16" xfId="0" applyFont="1" applyFill="1" applyBorder="1" applyProtection="1"/>
    <xf numFmtId="176" fontId="6" fillId="3" borderId="17" xfId="0" applyNumberFormat="1" applyFont="1" applyFill="1" applyBorder="1" applyProtection="1"/>
    <xf numFmtId="176" fontId="6" fillId="3" borderId="36" xfId="0" applyNumberFormat="1" applyFont="1" applyFill="1" applyBorder="1" applyProtection="1"/>
    <xf numFmtId="176" fontId="0" fillId="2" borderId="23" xfId="0" applyNumberFormat="1" applyFill="1" applyBorder="1" applyProtection="1">
      <protection locked="0"/>
    </xf>
    <xf numFmtId="176" fontId="0" fillId="3" borderId="23" xfId="0" applyNumberFormat="1" applyFill="1" applyBorder="1" applyProtection="1"/>
    <xf numFmtId="0" fontId="6" fillId="3" borderId="34" xfId="0" applyFont="1" applyFill="1" applyBorder="1" applyAlignment="1" applyProtection="1"/>
    <xf numFmtId="0" fontId="4" fillId="2" borderId="13" xfId="0" applyNumberFormat="1" applyFont="1" applyFill="1" applyBorder="1" applyAlignment="1" applyProtection="1">
      <protection locked="0"/>
    </xf>
    <xf numFmtId="178" fontId="5" fillId="2" borderId="15" xfId="0" applyNumberFormat="1" applyFont="1" applyFill="1" applyBorder="1" applyAlignment="1" applyProtection="1">
      <alignment horizontal="center"/>
      <protection locked="0"/>
    </xf>
    <xf numFmtId="178" fontId="5" fillId="2" borderId="18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/>
    <xf numFmtId="0" fontId="0" fillId="0" borderId="0" xfId="0" applyFill="1" applyBorder="1" applyProtection="1"/>
    <xf numFmtId="0" fontId="6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176" fontId="0" fillId="0" borderId="0" xfId="0" applyNumberFormat="1" applyFill="1" applyBorder="1" applyProtection="1"/>
    <xf numFmtId="177" fontId="0" fillId="0" borderId="0" xfId="0" applyNumberFormat="1" applyFill="1" applyBorder="1" applyProtection="1"/>
    <xf numFmtId="0" fontId="0" fillId="3" borderId="38" xfId="0" applyFill="1" applyBorder="1" applyProtection="1"/>
    <xf numFmtId="0" fontId="0" fillId="3" borderId="5" xfId="0" applyFill="1" applyBorder="1" applyAlignment="1" applyProtection="1"/>
    <xf numFmtId="0" fontId="6" fillId="3" borderId="6" xfId="0" applyFont="1" applyFill="1" applyBorder="1" applyAlignment="1" applyProtection="1"/>
    <xf numFmtId="0" fontId="4" fillId="3" borderId="6" xfId="0" applyFont="1" applyFill="1" applyBorder="1" applyAlignment="1" applyProtection="1"/>
    <xf numFmtId="0" fontId="0" fillId="0" borderId="0" xfId="0" applyFill="1" applyProtection="1"/>
    <xf numFmtId="0" fontId="10" fillId="0" borderId="11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0" fontId="6" fillId="0" borderId="14" xfId="0" applyFont="1" applyFill="1" applyBorder="1" applyProtection="1"/>
    <xf numFmtId="176" fontId="7" fillId="0" borderId="9" xfId="0" applyNumberFormat="1" applyFont="1" applyFill="1" applyBorder="1" applyProtection="1"/>
    <xf numFmtId="176" fontId="7" fillId="0" borderId="15" xfId="0" applyNumberFormat="1" applyFont="1" applyFill="1" applyBorder="1" applyProtection="1"/>
    <xf numFmtId="9" fontId="7" fillId="0" borderId="9" xfId="0" applyNumberFormat="1" applyFont="1" applyFill="1" applyBorder="1" applyProtection="1"/>
    <xf numFmtId="9" fontId="7" fillId="0" borderId="15" xfId="0" applyNumberFormat="1" applyFont="1" applyFill="1" applyBorder="1" applyProtection="1"/>
    <xf numFmtId="0" fontId="6" fillId="0" borderId="14" xfId="0" applyFont="1" applyFill="1" applyBorder="1" applyAlignment="1" applyProtection="1">
      <alignment vertical="center"/>
    </xf>
    <xf numFmtId="0" fontId="4" fillId="3" borderId="6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Protection="1"/>
    <xf numFmtId="0" fontId="4" fillId="2" borderId="14" xfId="0" applyFont="1" applyFill="1" applyBorder="1" applyProtection="1">
      <protection locked="0"/>
    </xf>
    <xf numFmtId="177" fontId="7" fillId="0" borderId="9" xfId="0" applyNumberFormat="1" applyFont="1" applyFill="1" applyBorder="1" applyProtection="1"/>
    <xf numFmtId="177" fontId="7" fillId="0" borderId="15" xfId="0" applyNumberFormat="1" applyFont="1" applyFill="1" applyBorder="1" applyProtection="1"/>
    <xf numFmtId="179" fontId="7" fillId="0" borderId="9" xfId="0" applyNumberFormat="1" applyFont="1" applyFill="1" applyBorder="1" applyProtection="1"/>
    <xf numFmtId="179" fontId="7" fillId="0" borderId="15" xfId="0" applyNumberFormat="1" applyFont="1" applyFill="1" applyBorder="1" applyProtection="1"/>
    <xf numFmtId="179" fontId="7" fillId="0" borderId="9" xfId="0" applyNumberFormat="1" applyFont="1" applyFill="1" applyBorder="1" applyAlignment="1" applyProtection="1"/>
    <xf numFmtId="179" fontId="7" fillId="0" borderId="15" xfId="0" applyNumberFormat="1" applyFont="1" applyFill="1" applyBorder="1" applyAlignment="1" applyProtection="1"/>
    <xf numFmtId="0" fontId="4" fillId="0" borderId="0" xfId="3" applyFont="1" applyFill="1"/>
    <xf numFmtId="0" fontId="12" fillId="3" borderId="37" xfId="0" applyFont="1" applyFill="1" applyBorder="1" applyAlignment="1" applyProtection="1">
      <alignment horizontal="center"/>
    </xf>
    <xf numFmtId="0" fontId="0" fillId="3" borderId="18" xfId="0" applyFill="1" applyBorder="1" applyAlignment="1" applyProtection="1"/>
    <xf numFmtId="178" fontId="7" fillId="0" borderId="9" xfId="0" applyNumberFormat="1" applyFont="1" applyFill="1" applyBorder="1" applyAlignment="1" applyProtection="1"/>
    <xf numFmtId="178" fontId="7" fillId="0" borderId="9" xfId="0" applyNumberFormat="1" applyFont="1" applyFill="1" applyBorder="1" applyProtection="1"/>
    <xf numFmtId="178" fontId="7" fillId="0" borderId="15" xfId="0" applyNumberFormat="1" applyFont="1" applyFill="1" applyBorder="1" applyProtection="1"/>
    <xf numFmtId="178" fontId="7" fillId="0" borderId="15" xfId="0" applyNumberFormat="1" applyFont="1" applyFill="1" applyBorder="1" applyAlignment="1" applyProtection="1"/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3" borderId="37" xfId="0" applyFill="1" applyBorder="1" applyProtection="1"/>
    <xf numFmtId="0" fontId="0" fillId="3" borderId="39" xfId="0" applyFill="1" applyBorder="1" applyProtection="1"/>
    <xf numFmtId="0" fontId="4" fillId="3" borderId="39" xfId="0" applyFont="1" applyFill="1" applyBorder="1" applyProtection="1"/>
    <xf numFmtId="0" fontId="0" fillId="3" borderId="40" xfId="0" applyFill="1" applyBorder="1" applyProtection="1"/>
    <xf numFmtId="0" fontId="6" fillId="3" borderId="39" xfId="0" applyFont="1" applyFill="1" applyBorder="1" applyProtection="1"/>
    <xf numFmtId="0" fontId="5" fillId="2" borderId="15" xfId="0" applyNumberFormat="1" applyFont="1" applyFill="1" applyBorder="1" applyAlignment="1" applyProtection="1">
      <alignment horizontal="center"/>
      <protection locked="0"/>
    </xf>
    <xf numFmtId="49" fontId="5" fillId="2" borderId="15" xfId="0" applyNumberFormat="1" applyFont="1" applyFill="1" applyBorder="1" applyAlignment="1" applyProtection="1">
      <alignment horizontal="center"/>
      <protection locked="0"/>
    </xf>
    <xf numFmtId="0" fontId="1" fillId="0" borderId="0" xfId="1" applyFont="1">
      <alignment vertical="center"/>
    </xf>
    <xf numFmtId="0" fontId="6" fillId="0" borderId="25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176" fontId="17" fillId="3" borderId="41" xfId="0" applyNumberFormat="1" applyFont="1" applyFill="1" applyBorder="1" applyProtection="1"/>
    <xf numFmtId="176" fontId="16" fillId="3" borderId="42" xfId="0" applyNumberFormat="1" applyFont="1" applyFill="1" applyBorder="1" applyProtection="1"/>
    <xf numFmtId="176" fontId="16" fillId="3" borderId="43" xfId="0" applyNumberFormat="1" applyFont="1" applyFill="1" applyBorder="1" applyProtection="1"/>
    <xf numFmtId="0" fontId="6" fillId="3" borderId="0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/>
    <xf numFmtId="0" fontId="0" fillId="3" borderId="44" xfId="0" applyFill="1" applyBorder="1" applyProtection="1"/>
    <xf numFmtId="176" fontId="17" fillId="3" borderId="45" xfId="0" applyNumberFormat="1" applyFont="1" applyFill="1" applyBorder="1" applyProtection="1"/>
    <xf numFmtId="176" fontId="16" fillId="3" borderId="10" xfId="0" applyNumberFormat="1" applyFont="1" applyFill="1" applyBorder="1" applyAlignment="1" applyProtection="1"/>
    <xf numFmtId="176" fontId="16" fillId="3" borderId="46" xfId="0" applyNumberFormat="1" applyFont="1" applyFill="1" applyBorder="1" applyAlignment="1" applyProtection="1"/>
    <xf numFmtId="0" fontId="6" fillId="0" borderId="16" xfId="0" applyFont="1" applyFill="1" applyBorder="1" applyAlignment="1" applyProtection="1">
      <alignment vertical="center"/>
    </xf>
    <xf numFmtId="179" fontId="7" fillId="0" borderId="17" xfId="0" applyNumberFormat="1" applyFont="1" applyFill="1" applyBorder="1" applyAlignment="1" applyProtection="1"/>
    <xf numFmtId="179" fontId="7" fillId="0" borderId="18" xfId="0" applyNumberFormat="1" applyFont="1" applyFill="1" applyBorder="1" applyAlignment="1" applyProtection="1"/>
    <xf numFmtId="0" fontId="12" fillId="3" borderId="47" xfId="0" applyFont="1" applyFill="1" applyBorder="1" applyAlignment="1" applyProtection="1">
      <alignment horizontal="center"/>
    </xf>
    <xf numFmtId="0" fontId="0" fillId="2" borderId="47" xfId="0" applyFill="1" applyBorder="1" applyAlignment="1" applyProtection="1">
      <protection locked="0"/>
    </xf>
    <xf numFmtId="0" fontId="19" fillId="3" borderId="0" xfId="0" applyFont="1" applyFill="1" applyAlignment="1" applyProtection="1">
      <alignment vertical="top"/>
    </xf>
    <xf numFmtId="0" fontId="19" fillId="3" borderId="5" xfId="0" applyFont="1" applyFill="1" applyBorder="1" applyAlignment="1" applyProtection="1">
      <alignment vertical="top"/>
    </xf>
    <xf numFmtId="0" fontId="4" fillId="0" borderId="13" xfId="0" applyFont="1" applyBorder="1" applyAlignment="1" applyProtection="1">
      <alignment vertical="top"/>
    </xf>
    <xf numFmtId="0" fontId="4" fillId="0" borderId="18" xfId="0" applyFont="1" applyBorder="1" applyAlignment="1" applyProtection="1">
      <alignment vertical="top"/>
    </xf>
    <xf numFmtId="0" fontId="19" fillId="3" borderId="4" xfId="0" applyFont="1" applyFill="1" applyBorder="1" applyAlignment="1" applyProtection="1">
      <alignment vertical="top"/>
    </xf>
    <xf numFmtId="0" fontId="12" fillId="3" borderId="1" xfId="0" applyFont="1" applyFill="1" applyBorder="1" applyAlignment="1" applyProtection="1">
      <alignment horizontal="center"/>
    </xf>
    <xf numFmtId="0" fontId="12" fillId="3" borderId="2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/>
    </xf>
    <xf numFmtId="0" fontId="12" fillId="3" borderId="22" xfId="0" applyFont="1" applyFill="1" applyBorder="1" applyAlignment="1" applyProtection="1">
      <alignment horizontal="center"/>
    </xf>
    <xf numFmtId="0" fontId="12" fillId="3" borderId="24" xfId="0" applyFont="1" applyFill="1" applyBorder="1" applyAlignment="1" applyProtection="1">
      <alignment horizontal="center"/>
    </xf>
    <xf numFmtId="0" fontId="12" fillId="3" borderId="31" xfId="0" applyFont="1" applyFill="1" applyBorder="1" applyAlignment="1" applyProtection="1">
      <alignment horizontal="center"/>
    </xf>
    <xf numFmtId="0" fontId="10" fillId="3" borderId="11" xfId="0" applyFont="1" applyFill="1" applyBorder="1" applyAlignment="1" applyProtection="1">
      <alignment horizontal="center"/>
    </xf>
    <xf numFmtId="0" fontId="10" fillId="3" borderId="13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8" fillId="3" borderId="0" xfId="0" applyFont="1" applyFill="1" applyBorder="1" applyAlignment="1" applyProtection="1">
      <alignment vertical="top" wrapText="1"/>
    </xf>
    <xf numFmtId="0" fontId="5" fillId="0" borderId="0" xfId="0" applyFont="1" applyAlignment="1" applyProtection="1"/>
    <xf numFmtId="0" fontId="5" fillId="0" borderId="5" xfId="0" applyFont="1" applyBorder="1" applyAlignment="1" applyProtection="1"/>
    <xf numFmtId="0" fontId="5" fillId="0" borderId="6" xfId="0" applyFont="1" applyBorder="1" applyAlignment="1" applyProtection="1"/>
    <xf numFmtId="0" fontId="5" fillId="0" borderId="7" xfId="0" applyFont="1" applyBorder="1" applyAlignment="1" applyProtection="1"/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workbookViewId="0">
      <selection activeCell="C3" sqref="C3"/>
    </sheetView>
  </sheetViews>
  <sheetFormatPr defaultColWidth="6.75" defaultRowHeight="13.5"/>
  <cols>
    <col min="1" max="1" width="0.5" style="18" customWidth="1"/>
    <col min="2" max="2" width="19.625" style="18" customWidth="1"/>
    <col min="3" max="3" width="8.125" style="18" customWidth="1"/>
    <col min="4" max="4" width="8.125" style="18" bestFit="1" customWidth="1"/>
    <col min="5" max="5" width="1.5" style="18" customWidth="1"/>
    <col min="6" max="6" width="8.875" style="18" bestFit="1" customWidth="1"/>
    <col min="7" max="7" width="20.625" style="18" customWidth="1"/>
    <col min="8" max="15" width="5.25" style="18" customWidth="1"/>
    <col min="16" max="16" width="20.625" style="18" customWidth="1"/>
    <col min="17" max="18" width="5.25" style="18" customWidth="1"/>
    <col min="19" max="19" width="5.25" style="19" customWidth="1"/>
    <col min="20" max="20" width="5.25" style="18" customWidth="1"/>
    <col min="21" max="21" width="5.25" style="20" customWidth="1"/>
    <col min="22" max="24" width="5.25" style="18" customWidth="1"/>
    <col min="25" max="16384" width="6.75" style="18"/>
  </cols>
  <sheetData>
    <row r="1" spans="2:24" ht="3" customHeight="1"/>
    <row r="2" spans="2:24" ht="14.25" customHeight="1">
      <c r="B2" s="163" t="s">
        <v>43</v>
      </c>
      <c r="C2" s="164"/>
      <c r="D2" s="21"/>
      <c r="E2" s="21"/>
      <c r="F2" s="160" t="s">
        <v>77</v>
      </c>
      <c r="G2" s="161"/>
      <c r="H2" s="161"/>
      <c r="I2" s="161"/>
      <c r="J2" s="161"/>
      <c r="K2" s="161"/>
      <c r="L2" s="161"/>
      <c r="M2" s="161"/>
      <c r="N2" s="161"/>
      <c r="O2" s="162"/>
      <c r="P2" s="157" t="s">
        <v>78</v>
      </c>
      <c r="Q2" s="158"/>
      <c r="R2" s="158"/>
      <c r="S2" s="158"/>
      <c r="T2" s="158"/>
      <c r="U2" s="158"/>
      <c r="V2" s="158"/>
      <c r="W2" s="158"/>
      <c r="X2" s="159"/>
    </row>
    <row r="3" spans="2:24">
      <c r="B3" s="22" t="s">
        <v>156</v>
      </c>
      <c r="C3" s="5">
        <v>250</v>
      </c>
      <c r="D3" s="23"/>
      <c r="E3" s="23"/>
      <c r="F3" s="24"/>
      <c r="G3" s="25" t="s">
        <v>16</v>
      </c>
      <c r="H3" s="26" t="s">
        <v>46</v>
      </c>
      <c r="I3" s="26" t="s">
        <v>73</v>
      </c>
      <c r="J3" s="26" t="s">
        <v>74</v>
      </c>
      <c r="K3" s="27" t="s">
        <v>70</v>
      </c>
      <c r="L3" s="26" t="s">
        <v>0</v>
      </c>
      <c r="M3" s="26" t="s">
        <v>75</v>
      </c>
      <c r="N3" s="26" t="s">
        <v>76</v>
      </c>
      <c r="O3" s="28" t="s">
        <v>55</v>
      </c>
      <c r="P3" s="25" t="s">
        <v>16</v>
      </c>
      <c r="Q3" s="26" t="s">
        <v>11</v>
      </c>
      <c r="R3" s="26" t="s">
        <v>73</v>
      </c>
      <c r="S3" s="26" t="s">
        <v>74</v>
      </c>
      <c r="T3" s="27" t="s">
        <v>70</v>
      </c>
      <c r="U3" s="26" t="s">
        <v>0</v>
      </c>
      <c r="V3" s="26" t="s">
        <v>75</v>
      </c>
      <c r="W3" s="26" t="s">
        <v>76</v>
      </c>
      <c r="X3" s="29" t="s">
        <v>55</v>
      </c>
    </row>
    <row r="4" spans="2:24">
      <c r="B4" s="30" t="s">
        <v>154</v>
      </c>
      <c r="C4" s="6">
        <v>100</v>
      </c>
      <c r="D4" s="23"/>
      <c r="E4" s="23"/>
      <c r="F4" s="31" t="s">
        <v>40</v>
      </c>
      <c r="G4" s="9" t="s">
        <v>30</v>
      </c>
      <c r="H4" s="32">
        <f t="shared" ref="H4:O13" ca="1" si="0">IF(ISBLANK($G4),0,VLOOKUP($G4,INDIRECT($F4),MATCH(H$3,ステータスラベル,0),0))</f>
        <v>398</v>
      </c>
      <c r="I4" s="32">
        <f t="shared" ca="1" si="0"/>
        <v>0</v>
      </c>
      <c r="J4" s="32">
        <f t="shared" ca="1" si="0"/>
        <v>0</v>
      </c>
      <c r="K4" s="32">
        <f t="shared" ca="1" si="0"/>
        <v>0</v>
      </c>
      <c r="L4" s="32">
        <f t="shared" ca="1" si="0"/>
        <v>92</v>
      </c>
      <c r="M4" s="32">
        <f t="shared" ca="1" si="0"/>
        <v>0</v>
      </c>
      <c r="N4" s="32">
        <f t="shared" ca="1" si="0"/>
        <v>0</v>
      </c>
      <c r="O4" s="32">
        <f t="shared" ca="1" si="0"/>
        <v>0</v>
      </c>
      <c r="P4" s="9" t="s">
        <v>30</v>
      </c>
      <c r="Q4" s="32">
        <f t="shared" ref="Q4:X4" ca="1" si="1">IF(ISBLANK($P4),0,VLOOKUP($P4,INDIRECT($F4),MATCH(Q$3,ステータスラベル,0),0))</f>
        <v>398</v>
      </c>
      <c r="R4" s="32">
        <f t="shared" ca="1" si="1"/>
        <v>0</v>
      </c>
      <c r="S4" s="32">
        <f t="shared" ca="1" si="1"/>
        <v>0</v>
      </c>
      <c r="T4" s="32">
        <f t="shared" ca="1" si="1"/>
        <v>0</v>
      </c>
      <c r="U4" s="32">
        <f t="shared" ca="1" si="1"/>
        <v>92</v>
      </c>
      <c r="V4" s="32">
        <f t="shared" ca="1" si="1"/>
        <v>0</v>
      </c>
      <c r="W4" s="32">
        <f t="shared" ca="1" si="1"/>
        <v>0</v>
      </c>
      <c r="X4" s="39">
        <f t="shared" ca="1" si="1"/>
        <v>0</v>
      </c>
    </row>
    <row r="5" spans="2:24">
      <c r="B5" s="33"/>
      <c r="C5" s="23"/>
      <c r="D5" s="23"/>
      <c r="E5" s="23"/>
      <c r="F5" s="34" t="s">
        <v>15</v>
      </c>
      <c r="G5" s="8" t="s">
        <v>53</v>
      </c>
      <c r="H5" s="35">
        <f t="shared" ca="1" si="0"/>
        <v>0</v>
      </c>
      <c r="I5" s="35">
        <f t="shared" ca="1" si="0"/>
        <v>0</v>
      </c>
      <c r="J5" s="35">
        <f t="shared" ca="1" si="0"/>
        <v>0</v>
      </c>
      <c r="K5" s="35">
        <f t="shared" ca="1" si="0"/>
        <v>0</v>
      </c>
      <c r="L5" s="35">
        <f t="shared" ca="1" si="0"/>
        <v>0</v>
      </c>
      <c r="M5" s="35">
        <f t="shared" ca="1" si="0"/>
        <v>0</v>
      </c>
      <c r="N5" s="35">
        <f t="shared" ca="1" si="0"/>
        <v>0</v>
      </c>
      <c r="O5" s="35">
        <f t="shared" ca="1" si="0"/>
        <v>0</v>
      </c>
      <c r="P5" s="8" t="s">
        <v>53</v>
      </c>
      <c r="Q5" s="35">
        <f t="shared" ref="Q5:X21" ca="1" si="2">IF(ISBLANK($P5),0,VLOOKUP($P5,INDIRECT($F5),MATCH(Q$3,ステータスラベル,0),0))</f>
        <v>0</v>
      </c>
      <c r="R5" s="35">
        <f t="shared" ca="1" si="2"/>
        <v>0</v>
      </c>
      <c r="S5" s="35">
        <f t="shared" ca="1" si="2"/>
        <v>0</v>
      </c>
      <c r="T5" s="35">
        <f t="shared" ca="1" si="2"/>
        <v>0</v>
      </c>
      <c r="U5" s="35">
        <f t="shared" ca="1" si="2"/>
        <v>0</v>
      </c>
      <c r="V5" s="35">
        <f t="shared" ca="1" si="2"/>
        <v>0</v>
      </c>
      <c r="W5" s="35">
        <f t="shared" ca="1" si="2"/>
        <v>0</v>
      </c>
      <c r="X5" s="36">
        <f t="shared" ca="1" si="2"/>
        <v>0</v>
      </c>
    </row>
    <row r="6" spans="2:24">
      <c r="B6" s="163" t="s">
        <v>44</v>
      </c>
      <c r="C6" s="164"/>
      <c r="D6" s="127"/>
      <c r="E6" s="37"/>
      <c r="F6" s="34" t="s">
        <v>12</v>
      </c>
      <c r="G6" s="8" t="s">
        <v>221</v>
      </c>
      <c r="H6" s="35">
        <f t="shared" ca="1" si="0"/>
        <v>269</v>
      </c>
      <c r="I6" s="35">
        <f t="shared" ca="1" si="0"/>
        <v>217</v>
      </c>
      <c r="J6" s="35">
        <f t="shared" ca="1" si="0"/>
        <v>30</v>
      </c>
      <c r="K6" s="35">
        <f t="shared" ca="1" si="0"/>
        <v>0</v>
      </c>
      <c r="L6" s="35">
        <f t="shared" ca="1" si="0"/>
        <v>0</v>
      </c>
      <c r="M6" s="35">
        <f t="shared" ca="1" si="0"/>
        <v>0</v>
      </c>
      <c r="N6" s="35">
        <f t="shared" ca="1" si="0"/>
        <v>0</v>
      </c>
      <c r="O6" s="35">
        <f t="shared" ca="1" si="0"/>
        <v>0</v>
      </c>
      <c r="P6" s="8" t="s">
        <v>222</v>
      </c>
      <c r="Q6" s="35">
        <f t="shared" ca="1" si="2"/>
        <v>269</v>
      </c>
      <c r="R6" s="35">
        <f t="shared" ca="1" si="2"/>
        <v>155</v>
      </c>
      <c r="S6" s="35">
        <f t="shared" ca="1" si="2"/>
        <v>70</v>
      </c>
      <c r="T6" s="35">
        <f t="shared" ca="1" si="2"/>
        <v>0</v>
      </c>
      <c r="U6" s="35">
        <f t="shared" ca="1" si="2"/>
        <v>0</v>
      </c>
      <c r="V6" s="35">
        <f t="shared" ca="1" si="2"/>
        <v>0</v>
      </c>
      <c r="W6" s="35">
        <f t="shared" ca="1" si="2"/>
        <v>0</v>
      </c>
      <c r="X6" s="36">
        <f t="shared" ca="1" si="2"/>
        <v>500</v>
      </c>
    </row>
    <row r="7" spans="2:24">
      <c r="B7" s="22" t="s">
        <v>89</v>
      </c>
      <c r="C7" s="38">
        <v>201</v>
      </c>
      <c r="D7" s="128"/>
      <c r="E7" s="23"/>
      <c r="F7" s="34" t="s">
        <v>13</v>
      </c>
      <c r="G7" s="8" t="s">
        <v>106</v>
      </c>
      <c r="H7" s="35">
        <f t="shared" ca="1" si="0"/>
        <v>0</v>
      </c>
      <c r="I7" s="35">
        <f t="shared" ca="1" si="0"/>
        <v>0</v>
      </c>
      <c r="J7" s="35">
        <f t="shared" ca="1" si="0"/>
        <v>25</v>
      </c>
      <c r="K7" s="35">
        <f t="shared" ca="1" si="0"/>
        <v>35</v>
      </c>
      <c r="L7" s="35">
        <f t="shared" ca="1" si="0"/>
        <v>0</v>
      </c>
      <c r="M7" s="35">
        <f t="shared" ca="1" si="0"/>
        <v>0</v>
      </c>
      <c r="N7" s="35">
        <f t="shared" ca="1" si="0"/>
        <v>0</v>
      </c>
      <c r="O7" s="35">
        <f t="shared" ca="1" si="0"/>
        <v>0</v>
      </c>
      <c r="P7" s="8" t="s">
        <v>109</v>
      </c>
      <c r="Q7" s="35">
        <f t="shared" ca="1" si="2"/>
        <v>0</v>
      </c>
      <c r="R7" s="35">
        <f t="shared" ca="1" si="2"/>
        <v>0</v>
      </c>
      <c r="S7" s="35">
        <f t="shared" ca="1" si="2"/>
        <v>0</v>
      </c>
      <c r="T7" s="35">
        <f t="shared" ca="1" si="2"/>
        <v>0</v>
      </c>
      <c r="U7" s="35">
        <f t="shared" ca="1" si="2"/>
        <v>0</v>
      </c>
      <c r="V7" s="35">
        <f t="shared" ca="1" si="2"/>
        <v>0</v>
      </c>
      <c r="W7" s="35">
        <f t="shared" ca="1" si="2"/>
        <v>0</v>
      </c>
      <c r="X7" s="36">
        <f t="shared" ca="1" si="2"/>
        <v>0</v>
      </c>
    </row>
    <row r="8" spans="2:24">
      <c r="B8" s="22" t="s">
        <v>138</v>
      </c>
      <c r="C8" s="5">
        <v>1000</v>
      </c>
      <c r="D8" s="128"/>
      <c r="E8" s="23"/>
      <c r="F8" s="34" t="s">
        <v>19</v>
      </c>
      <c r="G8" s="8"/>
      <c r="H8" s="35">
        <f t="shared" ca="1" si="0"/>
        <v>0</v>
      </c>
      <c r="I8" s="35">
        <f t="shared" ca="1" si="0"/>
        <v>0</v>
      </c>
      <c r="J8" s="35">
        <f t="shared" ca="1" si="0"/>
        <v>0</v>
      </c>
      <c r="K8" s="35">
        <f t="shared" ca="1" si="0"/>
        <v>0</v>
      </c>
      <c r="L8" s="35">
        <f t="shared" ca="1" si="0"/>
        <v>0</v>
      </c>
      <c r="M8" s="35">
        <f t="shared" ca="1" si="0"/>
        <v>0</v>
      </c>
      <c r="N8" s="35">
        <f t="shared" ca="1" si="0"/>
        <v>0</v>
      </c>
      <c r="O8" s="35">
        <f t="shared" ca="1" si="0"/>
        <v>0</v>
      </c>
      <c r="P8" s="8"/>
      <c r="Q8" s="35">
        <f t="shared" ca="1" si="2"/>
        <v>0</v>
      </c>
      <c r="R8" s="35">
        <f t="shared" ca="1" si="2"/>
        <v>0</v>
      </c>
      <c r="S8" s="35">
        <f t="shared" ca="1" si="2"/>
        <v>0</v>
      </c>
      <c r="T8" s="35">
        <f t="shared" ca="1" si="2"/>
        <v>0</v>
      </c>
      <c r="U8" s="35">
        <f t="shared" ca="1" si="2"/>
        <v>0</v>
      </c>
      <c r="V8" s="35">
        <f t="shared" ca="1" si="2"/>
        <v>0</v>
      </c>
      <c r="W8" s="35">
        <f t="shared" ca="1" si="2"/>
        <v>0</v>
      </c>
      <c r="X8" s="36">
        <f t="shared" ca="1" si="2"/>
        <v>0</v>
      </c>
    </row>
    <row r="9" spans="2:24">
      <c r="B9" s="22" t="s">
        <v>90</v>
      </c>
      <c r="C9" s="132">
        <v>0</v>
      </c>
      <c r="D9" s="129"/>
      <c r="E9" s="23"/>
      <c r="F9" s="34" t="s">
        <v>20</v>
      </c>
      <c r="G9" s="8"/>
      <c r="H9" s="35">
        <f t="shared" ca="1" si="0"/>
        <v>0</v>
      </c>
      <c r="I9" s="35">
        <f t="shared" ca="1" si="0"/>
        <v>0</v>
      </c>
      <c r="J9" s="35">
        <f t="shared" ca="1" si="0"/>
        <v>0</v>
      </c>
      <c r="K9" s="35">
        <f t="shared" ca="1" si="0"/>
        <v>0</v>
      </c>
      <c r="L9" s="35">
        <f t="shared" ca="1" si="0"/>
        <v>0</v>
      </c>
      <c r="M9" s="35">
        <f t="shared" ca="1" si="0"/>
        <v>0</v>
      </c>
      <c r="N9" s="35">
        <f t="shared" ca="1" si="0"/>
        <v>0</v>
      </c>
      <c r="O9" s="35">
        <f t="shared" ca="1" si="0"/>
        <v>0</v>
      </c>
      <c r="P9" s="8"/>
      <c r="Q9" s="35">
        <f t="shared" ca="1" si="2"/>
        <v>0</v>
      </c>
      <c r="R9" s="35">
        <f t="shared" ca="1" si="2"/>
        <v>0</v>
      </c>
      <c r="S9" s="35">
        <f t="shared" ca="1" si="2"/>
        <v>0</v>
      </c>
      <c r="T9" s="35">
        <f t="shared" ca="1" si="2"/>
        <v>0</v>
      </c>
      <c r="U9" s="35">
        <f t="shared" ca="1" si="2"/>
        <v>0</v>
      </c>
      <c r="V9" s="35">
        <f t="shared" ca="1" si="2"/>
        <v>0</v>
      </c>
      <c r="W9" s="35">
        <f t="shared" ca="1" si="2"/>
        <v>0</v>
      </c>
      <c r="X9" s="36">
        <f t="shared" ca="1" si="2"/>
        <v>0</v>
      </c>
    </row>
    <row r="10" spans="2:24">
      <c r="B10" s="22" t="s">
        <v>91</v>
      </c>
      <c r="C10" s="133" t="s">
        <v>53</v>
      </c>
      <c r="D10" s="131">
        <f>IF(MATCH(C10,ロールインデックス,0)&gt;1,INDEX(ウィザーズロール,MATCH(C10,ロールインデックス,0))+($C$9*2),0)</f>
        <v>0</v>
      </c>
      <c r="E10" s="23"/>
      <c r="F10" s="34" t="s">
        <v>1</v>
      </c>
      <c r="G10" s="8"/>
      <c r="H10" s="35">
        <f t="shared" ca="1" si="0"/>
        <v>0</v>
      </c>
      <c r="I10" s="35">
        <f t="shared" ca="1" si="0"/>
        <v>0</v>
      </c>
      <c r="J10" s="35">
        <f t="shared" ca="1" si="0"/>
        <v>0</v>
      </c>
      <c r="K10" s="35">
        <f t="shared" ca="1" si="0"/>
        <v>0</v>
      </c>
      <c r="L10" s="35">
        <f t="shared" ca="1" si="0"/>
        <v>0</v>
      </c>
      <c r="M10" s="35">
        <f t="shared" ca="1" si="0"/>
        <v>0</v>
      </c>
      <c r="N10" s="35">
        <f t="shared" ca="1" si="0"/>
        <v>0</v>
      </c>
      <c r="O10" s="35">
        <f t="shared" ca="1" si="0"/>
        <v>0</v>
      </c>
      <c r="P10" s="8"/>
      <c r="Q10" s="35">
        <f t="shared" ca="1" si="2"/>
        <v>0</v>
      </c>
      <c r="R10" s="35">
        <f t="shared" ca="1" si="2"/>
        <v>0</v>
      </c>
      <c r="S10" s="35">
        <f t="shared" ca="1" si="2"/>
        <v>0</v>
      </c>
      <c r="T10" s="35">
        <f t="shared" ca="1" si="2"/>
        <v>0</v>
      </c>
      <c r="U10" s="35">
        <f t="shared" ca="1" si="2"/>
        <v>0</v>
      </c>
      <c r="V10" s="35">
        <f t="shared" ca="1" si="2"/>
        <v>0</v>
      </c>
      <c r="W10" s="35">
        <f t="shared" ca="1" si="2"/>
        <v>0</v>
      </c>
      <c r="X10" s="36">
        <f t="shared" ca="1" si="2"/>
        <v>0</v>
      </c>
    </row>
    <row r="11" spans="2:24">
      <c r="B11" s="22" t="s">
        <v>92</v>
      </c>
      <c r="C11" s="133" t="s">
        <v>53</v>
      </c>
      <c r="D11" s="131">
        <f>IF(MATCH(C11,ロールインデックス,0)&gt;1,INDEX(ワーロックスロール,MATCH(C11,ロールインデックス,0))+($C$9*5),0)</f>
        <v>0</v>
      </c>
      <c r="E11" s="23"/>
      <c r="F11" s="34" t="s">
        <v>2</v>
      </c>
      <c r="G11" s="8"/>
      <c r="H11" s="35">
        <f t="shared" ca="1" si="0"/>
        <v>0</v>
      </c>
      <c r="I11" s="35">
        <f t="shared" ca="1" si="0"/>
        <v>0</v>
      </c>
      <c r="J11" s="35">
        <f t="shared" ca="1" si="0"/>
        <v>0</v>
      </c>
      <c r="K11" s="35">
        <f t="shared" ca="1" si="0"/>
        <v>0</v>
      </c>
      <c r="L11" s="35">
        <f t="shared" ca="1" si="0"/>
        <v>0</v>
      </c>
      <c r="M11" s="35">
        <f t="shared" ca="1" si="0"/>
        <v>0</v>
      </c>
      <c r="N11" s="35">
        <f t="shared" ca="1" si="0"/>
        <v>0</v>
      </c>
      <c r="O11" s="35">
        <f t="shared" ca="1" si="0"/>
        <v>0</v>
      </c>
      <c r="P11" s="8"/>
      <c r="Q11" s="35">
        <f t="shared" ca="1" si="2"/>
        <v>0</v>
      </c>
      <c r="R11" s="35">
        <f t="shared" ca="1" si="2"/>
        <v>0</v>
      </c>
      <c r="S11" s="35">
        <f t="shared" ca="1" si="2"/>
        <v>0</v>
      </c>
      <c r="T11" s="35">
        <f t="shared" ca="1" si="2"/>
        <v>0</v>
      </c>
      <c r="U11" s="35">
        <f t="shared" ca="1" si="2"/>
        <v>0</v>
      </c>
      <c r="V11" s="35">
        <f t="shared" ca="1" si="2"/>
        <v>0</v>
      </c>
      <c r="W11" s="35">
        <f t="shared" ca="1" si="2"/>
        <v>0</v>
      </c>
      <c r="X11" s="36">
        <f t="shared" ca="1" si="2"/>
        <v>0</v>
      </c>
    </row>
    <row r="12" spans="2:24">
      <c r="B12" s="22" t="s">
        <v>93</v>
      </c>
      <c r="C12" s="7">
        <v>0</v>
      </c>
      <c r="D12" s="128"/>
      <c r="E12" s="23"/>
      <c r="F12" s="34" t="s">
        <v>3</v>
      </c>
      <c r="G12" s="8"/>
      <c r="H12" s="35">
        <f t="shared" ca="1" si="0"/>
        <v>0</v>
      </c>
      <c r="I12" s="35">
        <f t="shared" ca="1" si="0"/>
        <v>0</v>
      </c>
      <c r="J12" s="35">
        <f t="shared" ca="1" si="0"/>
        <v>0</v>
      </c>
      <c r="K12" s="35">
        <f t="shared" ca="1" si="0"/>
        <v>0</v>
      </c>
      <c r="L12" s="35">
        <f t="shared" ca="1" si="0"/>
        <v>0</v>
      </c>
      <c r="M12" s="35">
        <f t="shared" ca="1" si="0"/>
        <v>0</v>
      </c>
      <c r="N12" s="35">
        <f t="shared" ca="1" si="0"/>
        <v>0</v>
      </c>
      <c r="O12" s="35">
        <f t="shared" ca="1" si="0"/>
        <v>0</v>
      </c>
      <c r="P12" s="8"/>
      <c r="Q12" s="35">
        <f t="shared" ca="1" si="2"/>
        <v>0</v>
      </c>
      <c r="R12" s="35">
        <f t="shared" ca="1" si="2"/>
        <v>0</v>
      </c>
      <c r="S12" s="35">
        <f t="shared" ca="1" si="2"/>
        <v>0</v>
      </c>
      <c r="T12" s="35">
        <f t="shared" ca="1" si="2"/>
        <v>0</v>
      </c>
      <c r="U12" s="35">
        <f t="shared" ca="1" si="2"/>
        <v>0</v>
      </c>
      <c r="V12" s="35">
        <f t="shared" ca="1" si="2"/>
        <v>0</v>
      </c>
      <c r="W12" s="35">
        <f t="shared" ca="1" si="2"/>
        <v>0</v>
      </c>
      <c r="X12" s="36">
        <f t="shared" ca="1" si="2"/>
        <v>0</v>
      </c>
    </row>
    <row r="13" spans="2:24">
      <c r="B13" s="22" t="s">
        <v>94</v>
      </c>
      <c r="C13" s="7">
        <v>0</v>
      </c>
      <c r="D13" s="128"/>
      <c r="E13" s="23"/>
      <c r="F13" s="34" t="s">
        <v>5</v>
      </c>
      <c r="G13" s="8"/>
      <c r="H13" s="35">
        <f t="shared" ca="1" si="0"/>
        <v>0</v>
      </c>
      <c r="I13" s="35">
        <f t="shared" ca="1" si="0"/>
        <v>0</v>
      </c>
      <c r="J13" s="35">
        <f t="shared" ca="1" si="0"/>
        <v>0</v>
      </c>
      <c r="K13" s="35">
        <f t="shared" ca="1" si="0"/>
        <v>0</v>
      </c>
      <c r="L13" s="35">
        <f t="shared" ca="1" si="0"/>
        <v>0</v>
      </c>
      <c r="M13" s="35">
        <f t="shared" ca="1" si="0"/>
        <v>0</v>
      </c>
      <c r="N13" s="35">
        <f t="shared" ca="1" si="0"/>
        <v>0</v>
      </c>
      <c r="O13" s="35">
        <f t="shared" ca="1" si="0"/>
        <v>0</v>
      </c>
      <c r="P13" s="8"/>
      <c r="Q13" s="35">
        <f t="shared" ca="1" si="2"/>
        <v>0</v>
      </c>
      <c r="R13" s="35">
        <f t="shared" ca="1" si="2"/>
        <v>0</v>
      </c>
      <c r="S13" s="35">
        <f t="shared" ca="1" si="2"/>
        <v>0</v>
      </c>
      <c r="T13" s="35">
        <f t="shared" ca="1" si="2"/>
        <v>0</v>
      </c>
      <c r="U13" s="35">
        <f t="shared" ca="1" si="2"/>
        <v>0</v>
      </c>
      <c r="V13" s="35">
        <f t="shared" ca="1" si="2"/>
        <v>0</v>
      </c>
      <c r="W13" s="35">
        <f t="shared" ca="1" si="2"/>
        <v>0</v>
      </c>
      <c r="X13" s="36">
        <f t="shared" ca="1" si="2"/>
        <v>0</v>
      </c>
    </row>
    <row r="14" spans="2:24">
      <c r="B14" s="46" t="s">
        <v>129</v>
      </c>
      <c r="C14" s="81">
        <v>0.9</v>
      </c>
      <c r="D14" s="128"/>
      <c r="E14" s="23"/>
      <c r="F14" s="34" t="s">
        <v>4</v>
      </c>
      <c r="G14" s="8"/>
      <c r="H14" s="35">
        <f t="shared" ref="H14:O21" ca="1" si="3">IF(ISBLANK($G14),0,VLOOKUP($G14,INDIRECT($F14),MATCH(H$3,ステータスラベル,0),0))</f>
        <v>0</v>
      </c>
      <c r="I14" s="35">
        <f t="shared" ca="1" si="3"/>
        <v>0</v>
      </c>
      <c r="J14" s="35">
        <f t="shared" ca="1" si="3"/>
        <v>0</v>
      </c>
      <c r="K14" s="35">
        <f t="shared" ca="1" si="3"/>
        <v>0</v>
      </c>
      <c r="L14" s="35">
        <f t="shared" ca="1" si="3"/>
        <v>0</v>
      </c>
      <c r="M14" s="35">
        <f t="shared" ca="1" si="3"/>
        <v>0</v>
      </c>
      <c r="N14" s="35">
        <f t="shared" ca="1" si="3"/>
        <v>0</v>
      </c>
      <c r="O14" s="35">
        <f t="shared" ca="1" si="3"/>
        <v>0</v>
      </c>
      <c r="P14" s="8"/>
      <c r="Q14" s="35">
        <f t="shared" ca="1" si="2"/>
        <v>0</v>
      </c>
      <c r="R14" s="35">
        <f t="shared" ca="1" si="2"/>
        <v>0</v>
      </c>
      <c r="S14" s="35">
        <f t="shared" ca="1" si="2"/>
        <v>0</v>
      </c>
      <c r="T14" s="35">
        <f t="shared" ca="1" si="2"/>
        <v>0</v>
      </c>
      <c r="U14" s="35">
        <f t="shared" ca="1" si="2"/>
        <v>0</v>
      </c>
      <c r="V14" s="35">
        <f t="shared" ca="1" si="2"/>
        <v>0</v>
      </c>
      <c r="W14" s="35">
        <f t="shared" ca="1" si="2"/>
        <v>0</v>
      </c>
      <c r="X14" s="36">
        <f t="shared" ca="1" si="2"/>
        <v>0</v>
      </c>
    </row>
    <row r="15" spans="2:24">
      <c r="B15" s="30" t="s">
        <v>130</v>
      </c>
      <c r="C15" s="82">
        <v>0.5</v>
      </c>
      <c r="D15" s="130"/>
      <c r="E15" s="23"/>
      <c r="F15" s="34" t="s">
        <v>21</v>
      </c>
      <c r="G15" s="8"/>
      <c r="H15" s="35">
        <f t="shared" ca="1" si="3"/>
        <v>0</v>
      </c>
      <c r="I15" s="35">
        <f t="shared" ca="1" si="3"/>
        <v>0</v>
      </c>
      <c r="J15" s="35">
        <f t="shared" ca="1" si="3"/>
        <v>0</v>
      </c>
      <c r="K15" s="35">
        <f t="shared" ca="1" si="3"/>
        <v>0</v>
      </c>
      <c r="L15" s="35">
        <f t="shared" ca="1" si="3"/>
        <v>0</v>
      </c>
      <c r="M15" s="35">
        <f t="shared" ca="1" si="3"/>
        <v>0</v>
      </c>
      <c r="N15" s="35">
        <f t="shared" ca="1" si="3"/>
        <v>0</v>
      </c>
      <c r="O15" s="35">
        <f t="shared" ca="1" si="3"/>
        <v>0</v>
      </c>
      <c r="P15" s="8"/>
      <c r="Q15" s="35">
        <f t="shared" ca="1" si="2"/>
        <v>0</v>
      </c>
      <c r="R15" s="35">
        <f t="shared" ca="1" si="2"/>
        <v>0</v>
      </c>
      <c r="S15" s="35">
        <f t="shared" ca="1" si="2"/>
        <v>0</v>
      </c>
      <c r="T15" s="35">
        <f t="shared" ca="1" si="2"/>
        <v>0</v>
      </c>
      <c r="U15" s="35">
        <f t="shared" ca="1" si="2"/>
        <v>0</v>
      </c>
      <c r="V15" s="35">
        <f t="shared" ca="1" si="2"/>
        <v>0</v>
      </c>
      <c r="W15" s="35">
        <f t="shared" ca="1" si="2"/>
        <v>0</v>
      </c>
      <c r="X15" s="36">
        <f t="shared" ca="1" si="2"/>
        <v>0</v>
      </c>
    </row>
    <row r="16" spans="2:24">
      <c r="B16" s="33"/>
      <c r="C16" s="23"/>
      <c r="D16" s="40"/>
      <c r="E16" s="23"/>
      <c r="F16" s="34" t="s">
        <v>21</v>
      </c>
      <c r="G16" s="8"/>
      <c r="H16" s="35">
        <f t="shared" ca="1" si="3"/>
        <v>0</v>
      </c>
      <c r="I16" s="35">
        <f t="shared" ca="1" si="3"/>
        <v>0</v>
      </c>
      <c r="J16" s="35">
        <f t="shared" ca="1" si="3"/>
        <v>0</v>
      </c>
      <c r="K16" s="35">
        <f t="shared" ca="1" si="3"/>
        <v>0</v>
      </c>
      <c r="L16" s="35">
        <f t="shared" ca="1" si="3"/>
        <v>0</v>
      </c>
      <c r="M16" s="35">
        <f t="shared" ca="1" si="3"/>
        <v>0</v>
      </c>
      <c r="N16" s="35">
        <f t="shared" ca="1" si="3"/>
        <v>0</v>
      </c>
      <c r="O16" s="35">
        <f t="shared" ca="1" si="3"/>
        <v>0</v>
      </c>
      <c r="P16" s="8"/>
      <c r="Q16" s="35">
        <f t="shared" ca="1" si="2"/>
        <v>0</v>
      </c>
      <c r="R16" s="35">
        <f t="shared" ca="1" si="2"/>
        <v>0</v>
      </c>
      <c r="S16" s="35">
        <f t="shared" ca="1" si="2"/>
        <v>0</v>
      </c>
      <c r="T16" s="35">
        <f t="shared" ca="1" si="2"/>
        <v>0</v>
      </c>
      <c r="U16" s="35">
        <f t="shared" ca="1" si="2"/>
        <v>0</v>
      </c>
      <c r="V16" s="35">
        <f t="shared" ca="1" si="2"/>
        <v>0</v>
      </c>
      <c r="W16" s="35">
        <f t="shared" ca="1" si="2"/>
        <v>0</v>
      </c>
      <c r="X16" s="36">
        <f t="shared" ca="1" si="2"/>
        <v>0</v>
      </c>
    </row>
    <row r="17" spans="2:24">
      <c r="B17" s="94" t="s">
        <v>45</v>
      </c>
      <c r="C17" s="95" t="s">
        <v>95</v>
      </c>
      <c r="D17" s="96" t="s">
        <v>96</v>
      </c>
      <c r="E17" s="23"/>
      <c r="F17" s="34" t="s">
        <v>22</v>
      </c>
      <c r="G17" s="8"/>
      <c r="H17" s="35">
        <f t="shared" ca="1" si="3"/>
        <v>0</v>
      </c>
      <c r="I17" s="35">
        <f t="shared" ca="1" si="3"/>
        <v>0</v>
      </c>
      <c r="J17" s="35">
        <f t="shared" ca="1" si="3"/>
        <v>0</v>
      </c>
      <c r="K17" s="35">
        <f t="shared" ca="1" si="3"/>
        <v>0</v>
      </c>
      <c r="L17" s="35">
        <f t="shared" ca="1" si="3"/>
        <v>0</v>
      </c>
      <c r="M17" s="35">
        <f t="shared" ca="1" si="3"/>
        <v>0</v>
      </c>
      <c r="N17" s="35">
        <f t="shared" ca="1" si="3"/>
        <v>0</v>
      </c>
      <c r="O17" s="35">
        <f t="shared" ca="1" si="3"/>
        <v>0</v>
      </c>
      <c r="P17" s="8"/>
      <c r="Q17" s="35">
        <f t="shared" ca="1" si="2"/>
        <v>0</v>
      </c>
      <c r="R17" s="35">
        <f t="shared" ca="1" si="2"/>
        <v>0</v>
      </c>
      <c r="S17" s="35">
        <f t="shared" ca="1" si="2"/>
        <v>0</v>
      </c>
      <c r="T17" s="35">
        <f t="shared" ca="1" si="2"/>
        <v>0</v>
      </c>
      <c r="U17" s="35">
        <f t="shared" ca="1" si="2"/>
        <v>0</v>
      </c>
      <c r="V17" s="35">
        <f t="shared" ca="1" si="2"/>
        <v>0</v>
      </c>
      <c r="W17" s="35">
        <f t="shared" ca="1" si="2"/>
        <v>0</v>
      </c>
      <c r="X17" s="36">
        <f t="shared" ca="1" si="2"/>
        <v>0</v>
      </c>
    </row>
    <row r="18" spans="2:24">
      <c r="B18" s="97" t="s">
        <v>136</v>
      </c>
      <c r="C18" s="98">
        <f>MIN(MAX(IF(G10="ＬＫトリコルヌ+3",1,0)
+IF(G11="ＬＫフラック+3",1,0)
+IF(G12="ＬＫガントリー+3",1,0)
+IF(G13="ＬＫトルーズ+3",1,0)
+IF(G14="ＬＫブーツ+3",1,0)
+IF(G17="王将の指輪",1,0)
+IF(G18="王将の指輪",1,0)-1,0),4)</f>
        <v>0</v>
      </c>
      <c r="D18" s="99">
        <f>MIN(MAX(IF(P10="ＬＫトリコルヌ+3",1,0)
+IF(P11="ＬＫフラック+3",1,0)
+IF(P12="ＬＫガントリー+3",1,0)
+IF(P13="ＬＫトルーズ+3",1,0)
+IF(P14="ＬＫブーツ+3",1,0)
+IF(P17="王将の指輪",1,0)
+IF(P18="王将の指輪",1,0)-1,0),4)</f>
        <v>0</v>
      </c>
      <c r="E18" s="23"/>
      <c r="F18" s="34" t="s">
        <v>22</v>
      </c>
      <c r="G18" s="8"/>
      <c r="H18" s="35">
        <f t="shared" ca="1" si="3"/>
        <v>0</v>
      </c>
      <c r="I18" s="35">
        <f t="shared" ca="1" si="3"/>
        <v>0</v>
      </c>
      <c r="J18" s="35">
        <f t="shared" ca="1" si="3"/>
        <v>0</v>
      </c>
      <c r="K18" s="35">
        <f t="shared" ca="1" si="3"/>
        <v>0</v>
      </c>
      <c r="L18" s="35">
        <f t="shared" ca="1" si="3"/>
        <v>0</v>
      </c>
      <c r="M18" s="35">
        <f t="shared" ca="1" si="3"/>
        <v>0</v>
      </c>
      <c r="N18" s="35">
        <f t="shared" ca="1" si="3"/>
        <v>0</v>
      </c>
      <c r="O18" s="35">
        <f t="shared" ca="1" si="3"/>
        <v>0</v>
      </c>
      <c r="P18" s="8"/>
      <c r="Q18" s="35">
        <f t="shared" ca="1" si="2"/>
        <v>0</v>
      </c>
      <c r="R18" s="35">
        <f t="shared" ca="1" si="2"/>
        <v>0</v>
      </c>
      <c r="S18" s="35">
        <f t="shared" ca="1" si="2"/>
        <v>0</v>
      </c>
      <c r="T18" s="35">
        <f t="shared" ca="1" si="2"/>
        <v>0</v>
      </c>
      <c r="U18" s="35">
        <f t="shared" ca="1" si="2"/>
        <v>0</v>
      </c>
      <c r="V18" s="35">
        <f t="shared" ca="1" si="2"/>
        <v>0</v>
      </c>
      <c r="W18" s="35">
        <f t="shared" ca="1" si="2"/>
        <v>0</v>
      </c>
      <c r="X18" s="36">
        <f t="shared" ca="1" si="2"/>
        <v>0</v>
      </c>
    </row>
    <row r="19" spans="2:24">
      <c r="B19" s="97" t="s">
        <v>137</v>
      </c>
      <c r="C19" s="98">
        <f>MIN(MAX(IF(G10="ムンムボンネット+2",1,0)
+IF(G11="ムンムジャケット+2",1,0)
+IF(G12="ムンムリスト+2",1,0)
+IF(G13="ムンムケックス+2",1,0)
+IF(G14="ムンムゲマッシュ+2",1,0)
+IF(G17="ムンムリング",1,0)
+IF(G18="ムンムリング",1,0)-1,0),4)</f>
        <v>0</v>
      </c>
      <c r="D19" s="99">
        <f>MIN(MAX(IF(P10="ムンムボンネット+2",1,0)
+IF(P11="ムンムジャケット+2",1,0)
+IF(P12="ムンムリスト+2",1,0)
+IF(P13="ムンムケックス+2",1,0)
+IF(P14="ムンムゲマッシュ+2",1,0)
+IF(P17="ムンムリング",1,0)
+IF(P18="ムンムリング",1,0)-1,0),4)</f>
        <v>0</v>
      </c>
      <c r="E19" s="23"/>
      <c r="F19" s="34" t="s">
        <v>6</v>
      </c>
      <c r="G19" s="106"/>
      <c r="H19" s="35">
        <f t="shared" ca="1" si="3"/>
        <v>0</v>
      </c>
      <c r="I19" s="35">
        <f t="shared" ca="1" si="3"/>
        <v>0</v>
      </c>
      <c r="J19" s="35">
        <f t="shared" ca="1" si="3"/>
        <v>0</v>
      </c>
      <c r="K19" s="35">
        <f t="shared" ca="1" si="3"/>
        <v>0</v>
      </c>
      <c r="L19" s="35">
        <f t="shared" ca="1" si="3"/>
        <v>0</v>
      </c>
      <c r="M19" s="35">
        <f t="shared" ca="1" si="3"/>
        <v>0</v>
      </c>
      <c r="N19" s="35">
        <f t="shared" ca="1" si="3"/>
        <v>0</v>
      </c>
      <c r="O19" s="35">
        <f t="shared" ca="1" si="3"/>
        <v>0</v>
      </c>
      <c r="P19" s="106"/>
      <c r="Q19" s="35">
        <f t="shared" ca="1" si="2"/>
        <v>0</v>
      </c>
      <c r="R19" s="35">
        <f t="shared" ca="1" si="2"/>
        <v>0</v>
      </c>
      <c r="S19" s="35">
        <f t="shared" ca="1" si="2"/>
        <v>0</v>
      </c>
      <c r="T19" s="35">
        <f t="shared" ca="1" si="2"/>
        <v>0</v>
      </c>
      <c r="U19" s="35">
        <f t="shared" ca="1" si="2"/>
        <v>0</v>
      </c>
      <c r="V19" s="35">
        <f t="shared" ca="1" si="2"/>
        <v>0</v>
      </c>
      <c r="W19" s="35">
        <f t="shared" ca="1" si="2"/>
        <v>0</v>
      </c>
      <c r="X19" s="36">
        <f t="shared" ca="1" si="2"/>
        <v>0</v>
      </c>
    </row>
    <row r="20" spans="2:24">
      <c r="B20" s="97" t="s">
        <v>149</v>
      </c>
      <c r="C20" s="100">
        <f>IF(G6="デスペナルティ",30%,IF(G6="デスペナルティR15",30%,0))</f>
        <v>0.3</v>
      </c>
      <c r="D20" s="101">
        <f>IF(P6="デスペナルティ",30%,IF(P6="デスペナルティR15",30%,0))</f>
        <v>0</v>
      </c>
      <c r="E20" s="23"/>
      <c r="F20" s="34" t="s">
        <v>7</v>
      </c>
      <c r="G20" s="8"/>
      <c r="H20" s="35">
        <f t="shared" ca="1" si="3"/>
        <v>0</v>
      </c>
      <c r="I20" s="35">
        <f t="shared" ca="1" si="3"/>
        <v>0</v>
      </c>
      <c r="J20" s="35">
        <f t="shared" ca="1" si="3"/>
        <v>0</v>
      </c>
      <c r="K20" s="35">
        <f t="shared" ca="1" si="3"/>
        <v>0</v>
      </c>
      <c r="L20" s="35">
        <f t="shared" ca="1" si="3"/>
        <v>0</v>
      </c>
      <c r="M20" s="35">
        <f t="shared" ca="1" si="3"/>
        <v>0</v>
      </c>
      <c r="N20" s="35">
        <f t="shared" ca="1" si="3"/>
        <v>0</v>
      </c>
      <c r="O20" s="35">
        <f t="shared" ca="1" si="3"/>
        <v>0</v>
      </c>
      <c r="P20" s="8"/>
      <c r="Q20" s="35">
        <f t="shared" ca="1" si="2"/>
        <v>0</v>
      </c>
      <c r="R20" s="35">
        <f t="shared" ca="1" si="2"/>
        <v>0</v>
      </c>
      <c r="S20" s="35">
        <f t="shared" ca="1" si="2"/>
        <v>0</v>
      </c>
      <c r="T20" s="35">
        <f t="shared" ca="1" si="2"/>
        <v>0</v>
      </c>
      <c r="U20" s="35">
        <f t="shared" ca="1" si="2"/>
        <v>0</v>
      </c>
      <c r="V20" s="35">
        <f t="shared" ca="1" si="2"/>
        <v>0</v>
      </c>
      <c r="W20" s="35">
        <f t="shared" ca="1" si="2"/>
        <v>0</v>
      </c>
      <c r="X20" s="36">
        <f t="shared" ca="1" si="2"/>
        <v>0</v>
      </c>
    </row>
    <row r="21" spans="2:24">
      <c r="B21" s="97" t="s">
        <v>153</v>
      </c>
      <c r="C21" s="107">
        <f>IF(G19="属性ゴルゲット",25/256,0)+IF(G20="属性ベルト",25/256,0)</f>
        <v>0</v>
      </c>
      <c r="D21" s="108">
        <f>IF(P19="属性ゴルゲット",25/256,0)+IF(P20="属性ベルト",25/256,0)</f>
        <v>0</v>
      </c>
      <c r="E21" s="23"/>
      <c r="F21" s="41" t="s">
        <v>8</v>
      </c>
      <c r="G21" s="10"/>
      <c r="H21" s="42">
        <f t="shared" ca="1" si="3"/>
        <v>0</v>
      </c>
      <c r="I21" s="42">
        <f t="shared" ca="1" si="3"/>
        <v>0</v>
      </c>
      <c r="J21" s="42">
        <f t="shared" ca="1" si="3"/>
        <v>0</v>
      </c>
      <c r="K21" s="42">
        <f t="shared" ca="1" si="3"/>
        <v>0</v>
      </c>
      <c r="L21" s="42">
        <f t="shared" ca="1" si="3"/>
        <v>0</v>
      </c>
      <c r="M21" s="42">
        <f t="shared" ca="1" si="3"/>
        <v>0</v>
      </c>
      <c r="N21" s="42">
        <f t="shared" ca="1" si="3"/>
        <v>0</v>
      </c>
      <c r="O21" s="42">
        <f t="shared" ca="1" si="3"/>
        <v>0</v>
      </c>
      <c r="P21" s="10"/>
      <c r="Q21" s="42">
        <f t="shared" ca="1" si="2"/>
        <v>0</v>
      </c>
      <c r="R21" s="42">
        <f t="shared" ca="1" si="2"/>
        <v>0</v>
      </c>
      <c r="S21" s="42">
        <f t="shared" ca="1" si="2"/>
        <v>0</v>
      </c>
      <c r="T21" s="42">
        <f t="shared" ca="1" si="2"/>
        <v>0</v>
      </c>
      <c r="U21" s="42">
        <f t="shared" ca="1" si="2"/>
        <v>0</v>
      </c>
      <c r="V21" s="42">
        <f t="shared" ca="1" si="2"/>
        <v>0</v>
      </c>
      <c r="W21" s="42">
        <f t="shared" ca="1" si="2"/>
        <v>0</v>
      </c>
      <c r="X21" s="76">
        <f t="shared" ca="1" si="2"/>
        <v>0</v>
      </c>
    </row>
    <row r="22" spans="2:24">
      <c r="B22" s="97" t="s">
        <v>141</v>
      </c>
      <c r="C22" s="111">
        <f ca="1">MIN(C8+O24,3000)</f>
        <v>1000</v>
      </c>
      <c r="D22" s="112">
        <f ca="1">MIN(C8+X24,3000)</f>
        <v>1500</v>
      </c>
      <c r="E22" s="23"/>
      <c r="F22" s="61" t="s">
        <v>128</v>
      </c>
      <c r="G22" s="74">
        <f>IF(G9="ＯＲベレー+2",1,0)
+IF(G9="ＯＲベレー+3",1,0)
+IF(G10="ＯＲジャーキン+2",1,0)
+IF(G10="ＯＲジャーキン+3",1,0)
+IF(G11="ＯＲブレーサー+2",1,0)
+IF(G11="ＯＲブレーサー+3",1,0)
+IF(G12="ＯＲブラッカエ+2",1,0)
+IF(G12="ＯＲブラッカエ+3",1,0)
+IF(G13="ＯＲソックス+2",1,0)
+IF(G13="ＯＲソックス+3",1,0)
+IF(G16="王将の指輪",1,0)
+IF(G17="王将の指輪",1,0)</f>
        <v>0</v>
      </c>
      <c r="H22" s="75"/>
      <c r="I22" s="75"/>
      <c r="J22" s="75">
        <f>C18*15</f>
        <v>0</v>
      </c>
      <c r="K22" s="75"/>
      <c r="L22" s="75">
        <f>C19*8</f>
        <v>0</v>
      </c>
      <c r="M22" s="75"/>
      <c r="N22" s="75"/>
      <c r="O22" s="43"/>
      <c r="P22" s="74">
        <f>IF(P9="ＯＲベレー+2",1,0)
+IF(P9="ＯＲベレー+3",1,0)
+IF(P10="ＯＲジャーキン+2",1,0)
+IF(P10="ＯＲジャーキン+3",1,0)
+IF(P11="ＯＲブレーサー+2",1,0)
+IF(P11="ＯＲブレーサー+3",1,0)
+IF(P12="ＯＲブラッカエ+2",1,0)
+IF(P12="ＯＲブラッカエ+3",1,0)
+IF(P13="ＯＲソックス+2",1,0)
+IF(P13="ＯＲソックス+3",1,0)
+IF(P16="王将の指輪",1,0)
+IF(P17="王将の指輪",1,0)</f>
        <v>0</v>
      </c>
      <c r="Q22" s="75"/>
      <c r="R22" s="75"/>
      <c r="S22" s="75">
        <f>D18*15</f>
        <v>0</v>
      </c>
      <c r="T22" s="75"/>
      <c r="U22" s="75">
        <f>D19*8</f>
        <v>0</v>
      </c>
      <c r="V22" s="75"/>
      <c r="W22" s="75"/>
      <c r="X22" s="43"/>
    </row>
    <row r="23" spans="2:24">
      <c r="B23" s="97" t="s">
        <v>139</v>
      </c>
      <c r="C23" s="109">
        <f ca="1">$C$7+L24</f>
        <v>308</v>
      </c>
      <c r="D23" s="110">
        <f ca="1">$C$7+U24</f>
        <v>308</v>
      </c>
      <c r="E23" s="23"/>
      <c r="F23" s="44" t="s">
        <v>41</v>
      </c>
      <c r="G23" s="70">
        <f>IF(G10="ＯＲベレー+2",1,0)
+IF(G10="ＯＲベレー+3",1,0)
+IF(G11="ＯＲジャーキン+2",1,0)
+IF(G11="ＯＲジャーキン+3",1,0)
+IF(G12="ＯＲブレーサー+2",1,0)
+IF(G12="ＯＲブレーサー+3",1,0)
+IF(G13="ＯＲブラッカエ+2",1,0)
+IF(G13="ＯＲブラッカエ+3",1,0)
+IF(G14="ＯＲソックス+2",1,0)
+IF(G14="ＯＲソックス+3",1,0)
+IF(G17="王将の指輪",1,0)
+IF(G18="王将の指輪",1,0)</f>
        <v>0</v>
      </c>
      <c r="H23" s="11">
        <v>16</v>
      </c>
      <c r="I23" s="11">
        <v>0</v>
      </c>
      <c r="J23" s="11">
        <v>0</v>
      </c>
      <c r="K23" s="11">
        <v>0</v>
      </c>
      <c r="L23" s="11">
        <v>15</v>
      </c>
      <c r="M23" s="11">
        <v>0</v>
      </c>
      <c r="N23" s="11">
        <v>0</v>
      </c>
      <c r="O23" s="12">
        <v>0</v>
      </c>
      <c r="P23" s="70">
        <f>IF(P10="ＯＲベレー+2",1,0)
+IF(P10="ＯＲベレー+3",1,0)
+IF(P11="ＯＲジャーキン+2",1,0)
+IF(P11="ＯＲジャーキン+3",1,0)
+IF(P12="ＯＲブレーサー+2",1,0)
+IF(P12="ＯＲブレーサー+3",1,0)
+IF(P13="ＯＲブラッカエ+2",1,0)
+IF(P13="ＯＲブラッカエ+3",1,0)
+IF(P14="ＯＲソックス+2",1,0)
+IF(P14="ＯＲソックス+3",1,0)
+IF(P17="王将の指輪",1,0)
+IF(P18="王将の指輪",1,0)</f>
        <v>0</v>
      </c>
      <c r="Q23" s="11">
        <v>16</v>
      </c>
      <c r="R23" s="11">
        <v>0</v>
      </c>
      <c r="S23" s="11">
        <v>0</v>
      </c>
      <c r="T23" s="11">
        <v>0</v>
      </c>
      <c r="U23" s="11">
        <v>15</v>
      </c>
      <c r="V23" s="11">
        <v>0</v>
      </c>
      <c r="W23" s="11">
        <v>0</v>
      </c>
      <c r="X23" s="77">
        <v>0</v>
      </c>
    </row>
    <row r="24" spans="2:24">
      <c r="B24" s="97" t="s">
        <v>140</v>
      </c>
      <c r="C24" s="117">
        <f ca="1">INT((IF(C22&gt;=3000,10,IF(C22&lt;1000,0,IF(C22&lt;2000,(C22-1000)*0.0027+4,(C22-2000)*0.0033+6.7)))+C21)*256)/256</f>
        <v>4</v>
      </c>
      <c r="D24" s="118">
        <f ca="1">INT((IF(D22&gt;=3000,10,IF(D22&lt;1000,0,IF(D22&lt;2000,(D22-1000)*0.0027+4,(D22-2000)*0.0033+6.7)))+D21)*256)/256</f>
        <v>5.34765625</v>
      </c>
      <c r="E24" s="23"/>
      <c r="F24" s="44" t="s">
        <v>28</v>
      </c>
      <c r="G24" s="45"/>
      <c r="H24" s="47">
        <f ca="1">SUM(H4:H23)+Q30</f>
        <v>683</v>
      </c>
      <c r="I24" s="47">
        <f t="shared" ref="I24:O24" ca="1" si="4">SUM(I4:I23)</f>
        <v>217</v>
      </c>
      <c r="J24" s="47">
        <f t="shared" ca="1" si="4"/>
        <v>55</v>
      </c>
      <c r="K24" s="47">
        <f t="shared" ca="1" si="4"/>
        <v>35</v>
      </c>
      <c r="L24" s="47">
        <f ca="1">SUM(L4:L23)+Q31</f>
        <v>107</v>
      </c>
      <c r="M24" s="47">
        <f t="shared" ca="1" si="4"/>
        <v>0</v>
      </c>
      <c r="N24" s="47">
        <f t="shared" ca="1" si="4"/>
        <v>0</v>
      </c>
      <c r="O24" s="47">
        <f t="shared" ca="1" si="4"/>
        <v>0</v>
      </c>
      <c r="P24" s="45"/>
      <c r="Q24" s="47">
        <f ca="1">SUM(Q4:Q23)+Q30</f>
        <v>683</v>
      </c>
      <c r="R24" s="47">
        <f t="shared" ref="R24:X24" ca="1" si="5">SUM(R4:R23)</f>
        <v>155</v>
      </c>
      <c r="S24" s="47">
        <f t="shared" ca="1" si="5"/>
        <v>70</v>
      </c>
      <c r="T24" s="47">
        <f t="shared" ca="1" si="5"/>
        <v>0</v>
      </c>
      <c r="U24" s="47">
        <f ca="1">SUM(U4:U23)+Q31</f>
        <v>107</v>
      </c>
      <c r="V24" s="47">
        <f t="shared" ca="1" si="5"/>
        <v>0</v>
      </c>
      <c r="W24" s="47">
        <f t="shared" ca="1" si="5"/>
        <v>0</v>
      </c>
      <c r="X24" s="78">
        <f t="shared" ca="1" si="5"/>
        <v>500</v>
      </c>
    </row>
    <row r="25" spans="2:24">
      <c r="B25" s="102" t="s">
        <v>142</v>
      </c>
      <c r="C25" s="98">
        <f ca="1">INT(IF((L24-$C$3)&gt;0,(L24-$C$3)*2,(L24-$C$3)*1.5))</f>
        <v>-215</v>
      </c>
      <c r="D25" s="99">
        <f ca="1">INT(IF((U24-$C$3)&gt;0,(U24-$C$3)*2,(U24-$C$3)*1.5))</f>
        <v>-215</v>
      </c>
      <c r="E25" s="2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48"/>
      <c r="T25" s="21"/>
      <c r="U25" s="49"/>
      <c r="V25" s="21"/>
      <c r="W25" s="21"/>
      <c r="X25" s="89"/>
    </row>
    <row r="26" spans="2:24">
      <c r="B26" s="102" t="s">
        <v>143</v>
      </c>
      <c r="C26" s="116">
        <f ca="1">(K24+$Q$27+100+$D$10)/$C$4</f>
        <v>1.49</v>
      </c>
      <c r="D26" s="119">
        <f ca="1">(T24+$Q$27+100+$D$10)/$C$4</f>
        <v>1.1399999999999999</v>
      </c>
      <c r="E26" s="23"/>
      <c r="F26" s="157" t="s">
        <v>47</v>
      </c>
      <c r="G26" s="165"/>
      <c r="H26" s="165"/>
      <c r="I26" s="165"/>
      <c r="J26" s="165"/>
      <c r="K26" s="165"/>
      <c r="L26" s="165"/>
      <c r="M26" s="165"/>
      <c r="N26" s="165"/>
      <c r="O26" s="166"/>
      <c r="P26" s="114" t="s">
        <v>54</v>
      </c>
      <c r="Q26" s="16">
        <v>2100</v>
      </c>
      <c r="R26" s="71"/>
      <c r="S26" s="71"/>
      <c r="T26" s="71"/>
      <c r="U26" s="71"/>
      <c r="V26" s="71"/>
      <c r="W26" s="71"/>
      <c r="X26" s="90"/>
    </row>
    <row r="27" spans="2:24">
      <c r="B27" s="102" t="s">
        <v>144</v>
      </c>
      <c r="C27" s="111">
        <f ca="1">INT(C23*C24)+C25+I24</f>
        <v>1234</v>
      </c>
      <c r="D27" s="112">
        <f ca="1">INT(D23*D24)+D25+R24</f>
        <v>1587</v>
      </c>
      <c r="E27" s="23"/>
      <c r="F27" s="50"/>
      <c r="G27" s="51" t="s">
        <v>16</v>
      </c>
      <c r="H27" s="26" t="s">
        <v>11</v>
      </c>
      <c r="I27" s="26" t="s">
        <v>73</v>
      </c>
      <c r="J27" s="26" t="s">
        <v>74</v>
      </c>
      <c r="K27" s="27" t="s">
        <v>70</v>
      </c>
      <c r="L27" s="26" t="s">
        <v>0</v>
      </c>
      <c r="M27" s="26" t="s">
        <v>75</v>
      </c>
      <c r="N27" s="26" t="s">
        <v>76</v>
      </c>
      <c r="O27" s="29" t="s">
        <v>55</v>
      </c>
      <c r="P27" s="52" t="s">
        <v>79</v>
      </c>
      <c r="Q27" s="53">
        <f>IF(Q26&gt;=45,2,0)+IF(Q26&gt;=320,3,0)+IF(Q26&gt;=845,4,0)+IF(Q26&gt;=1620,5,0)</f>
        <v>14</v>
      </c>
      <c r="R27" s="71"/>
      <c r="S27" s="71"/>
      <c r="T27" s="71"/>
      <c r="U27" s="71"/>
      <c r="V27" s="71"/>
      <c r="W27" s="71"/>
      <c r="X27" s="90"/>
    </row>
    <row r="28" spans="2:24">
      <c r="B28" s="102" t="s">
        <v>208</v>
      </c>
      <c r="C28" s="111">
        <f ca="1">INT(C27*IF(G8="チャトヤンスタッフ",1.15,1)*IF(G8="プルートスタッフ",1.15,1))</f>
        <v>1234</v>
      </c>
      <c r="D28" s="112">
        <f ca="1">INT(D27*IF(P8="チャトヤンスタッフ",1.15,1)*IF(P8="プルートスタッフ",1.15,1))</f>
        <v>1587</v>
      </c>
      <c r="E28" s="23"/>
      <c r="F28" s="57" t="s">
        <v>48</v>
      </c>
      <c r="G28" s="54" t="s">
        <v>61</v>
      </c>
      <c r="H28" s="13"/>
      <c r="I28" s="14"/>
      <c r="J28" s="14">
        <v>35</v>
      </c>
      <c r="K28" s="14">
        <v>35</v>
      </c>
      <c r="L28" s="14"/>
      <c r="M28" s="14"/>
      <c r="N28" s="14"/>
      <c r="O28" s="72"/>
      <c r="P28" s="55" t="s">
        <v>80</v>
      </c>
      <c r="Q28" s="115">
        <f>IF(Q26&gt;=80,5,0)+IF(Q26&gt;=405,8,0)+IF(Q26&gt;=980,10,0)+IF(Q26&gt;=1805,13,0)</f>
        <v>36</v>
      </c>
      <c r="R28" s="71"/>
      <c r="S28" s="71"/>
      <c r="T28" s="71"/>
      <c r="U28" s="71"/>
      <c r="V28" s="71"/>
      <c r="W28" s="71"/>
      <c r="X28" s="90"/>
    </row>
    <row r="29" spans="2:24">
      <c r="B29" s="102" t="s">
        <v>146</v>
      </c>
      <c r="C29" s="111">
        <f ca="1">TRUNC(C28*(100+N24)/100)</f>
        <v>1234</v>
      </c>
      <c r="D29" s="112">
        <f ca="1">TRUNC(D28*(100+W24)/100)</f>
        <v>1587</v>
      </c>
      <c r="E29" s="23"/>
      <c r="F29" s="57" t="s">
        <v>49</v>
      </c>
      <c r="G29" s="54" t="s">
        <v>57</v>
      </c>
      <c r="H29" s="14"/>
      <c r="I29" s="14"/>
      <c r="J29" s="14">
        <v>35</v>
      </c>
      <c r="K29" s="14">
        <v>35</v>
      </c>
      <c r="L29" s="14"/>
      <c r="M29" s="14"/>
      <c r="N29" s="14"/>
      <c r="O29" s="72"/>
      <c r="P29" s="150" t="s">
        <v>253</v>
      </c>
      <c r="Q29" s="151">
        <v>0</v>
      </c>
      <c r="R29" s="152"/>
      <c r="S29" s="152"/>
      <c r="T29" s="152"/>
      <c r="U29" s="152"/>
      <c r="V29" s="152"/>
      <c r="W29" s="152"/>
      <c r="X29" s="153"/>
    </row>
    <row r="30" spans="2:24">
      <c r="B30" s="102" t="s">
        <v>147</v>
      </c>
      <c r="C30" s="111">
        <f ca="1">INT(C29*(1+$C$12+$C$13+IF(G8="チャトヤンスタッフ",0.1,0)))</f>
        <v>1234</v>
      </c>
      <c r="D30" s="112">
        <f ca="1">INT(D29*(1+$C$12+$C$13+IF(P8="チャトヤンスタッフ",0.1,0)))</f>
        <v>1587</v>
      </c>
      <c r="E30" s="23"/>
      <c r="F30" s="57" t="s">
        <v>52</v>
      </c>
      <c r="G30" s="54" t="s">
        <v>58</v>
      </c>
      <c r="H30" s="14"/>
      <c r="I30" s="14"/>
      <c r="J30" s="14">
        <v>35</v>
      </c>
      <c r="K30" s="14">
        <v>35</v>
      </c>
      <c r="L30" s="14"/>
      <c r="M30" s="14"/>
      <c r="N30" s="14"/>
      <c r="O30" s="72"/>
      <c r="P30" s="52" t="s">
        <v>254</v>
      </c>
      <c r="Q30" s="154">
        <f>Q29</f>
        <v>0</v>
      </c>
      <c r="R30" s="152"/>
      <c r="S30" s="152"/>
      <c r="T30" s="152"/>
      <c r="U30" s="152"/>
      <c r="V30" s="152"/>
      <c r="W30" s="152"/>
      <c r="X30" s="153"/>
    </row>
    <row r="31" spans="2:24">
      <c r="B31" s="102" t="s">
        <v>148</v>
      </c>
      <c r="C31" s="111">
        <f ca="1">INT(C30*C26)</f>
        <v>1838</v>
      </c>
      <c r="D31" s="112">
        <f ca="1">INT(D30*D26)</f>
        <v>1809</v>
      </c>
      <c r="E31" s="23"/>
      <c r="F31" s="57" t="s">
        <v>50</v>
      </c>
      <c r="G31" s="54" t="s">
        <v>59</v>
      </c>
      <c r="H31" s="14"/>
      <c r="I31" s="14"/>
      <c r="J31" s="14">
        <v>35</v>
      </c>
      <c r="K31" s="14">
        <v>35</v>
      </c>
      <c r="L31" s="14"/>
      <c r="M31" s="14"/>
      <c r="N31" s="14"/>
      <c r="O31" s="72"/>
      <c r="P31" s="55" t="s">
        <v>255</v>
      </c>
      <c r="Q31" s="155">
        <f>Q29</f>
        <v>0</v>
      </c>
      <c r="R31" s="152"/>
      <c r="S31" s="152"/>
      <c r="T31" s="152"/>
      <c r="U31" s="152"/>
      <c r="V31" s="152"/>
      <c r="W31" s="152"/>
      <c r="X31" s="153"/>
    </row>
    <row r="32" spans="2:24">
      <c r="B32" s="102" t="s">
        <v>145</v>
      </c>
      <c r="C32" s="111">
        <f ca="1">TRUNC(C31*(100+M24)/100)</f>
        <v>1838</v>
      </c>
      <c r="D32" s="112">
        <f ca="1">TRUNC(D31*(100+V24)/100)</f>
        <v>1809</v>
      </c>
      <c r="E32" s="23"/>
      <c r="F32" s="59" t="s">
        <v>51</v>
      </c>
      <c r="G32" s="55" t="s">
        <v>60</v>
      </c>
      <c r="H32" s="17"/>
      <c r="I32" s="17"/>
      <c r="J32" s="17">
        <v>35</v>
      </c>
      <c r="K32" s="17">
        <v>35</v>
      </c>
      <c r="L32" s="17"/>
      <c r="M32" s="17"/>
      <c r="N32" s="17"/>
      <c r="O32" s="73"/>
      <c r="P32" s="156"/>
      <c r="Q32" s="152"/>
      <c r="R32" s="152"/>
      <c r="S32" s="152"/>
      <c r="T32" s="152"/>
      <c r="U32" s="152"/>
      <c r="V32" s="152"/>
      <c r="W32" s="152"/>
      <c r="X32" s="153"/>
    </row>
    <row r="33" spans="1:25">
      <c r="B33" s="135" t="s">
        <v>210</v>
      </c>
      <c r="C33" s="111">
        <f ca="1">INT(C32*IF(G6="デスペナルティR15",1.15,1))</f>
        <v>2113</v>
      </c>
      <c r="D33" s="112">
        <f ca="1">INT(D32*IF(P6="デスペナルティR15",1.15,1))</f>
        <v>1809</v>
      </c>
      <c r="E33" s="56"/>
      <c r="F33" s="79" t="s">
        <v>49</v>
      </c>
      <c r="G33" s="52" t="s">
        <v>86</v>
      </c>
      <c r="H33" s="60"/>
      <c r="I33" s="60"/>
      <c r="J33" s="60">
        <v>15</v>
      </c>
      <c r="K33" s="60">
        <v>15</v>
      </c>
      <c r="L33" s="60"/>
      <c r="M33" s="60"/>
      <c r="N33" s="60"/>
      <c r="O33" s="80"/>
      <c r="P33" s="167" t="s">
        <v>256</v>
      </c>
      <c r="Q33" s="168"/>
      <c r="R33" s="168"/>
      <c r="S33" s="168"/>
      <c r="T33" s="168"/>
      <c r="U33" s="168"/>
      <c r="V33" s="168"/>
      <c r="W33" s="168"/>
      <c r="X33" s="169"/>
    </row>
    <row r="34" spans="1:25">
      <c r="B34" s="147" t="s">
        <v>209</v>
      </c>
      <c r="C34" s="148">
        <f ca="1">TRUNC(C33*(1+C20))</f>
        <v>2746</v>
      </c>
      <c r="D34" s="149">
        <f ca="1">TRUNC(D33*(1+D20))</f>
        <v>1809</v>
      </c>
      <c r="E34" s="58"/>
      <c r="F34" s="59" t="s">
        <v>52</v>
      </c>
      <c r="G34" s="55" t="s">
        <v>88</v>
      </c>
      <c r="H34" s="17"/>
      <c r="I34" s="17"/>
      <c r="J34" s="17">
        <v>15</v>
      </c>
      <c r="K34" s="17">
        <v>15</v>
      </c>
      <c r="L34" s="17"/>
      <c r="M34" s="17"/>
      <c r="N34" s="17"/>
      <c r="O34" s="73"/>
      <c r="P34" s="168"/>
      <c r="Q34" s="168"/>
      <c r="R34" s="168"/>
      <c r="S34" s="168"/>
      <c r="T34" s="168"/>
      <c r="U34" s="168"/>
      <c r="V34" s="168"/>
      <c r="W34" s="168"/>
      <c r="X34" s="169"/>
    </row>
    <row r="35" spans="1:25">
      <c r="B35" s="144" t="s">
        <v>151</v>
      </c>
      <c r="C35" s="145">
        <f ca="1">C34</f>
        <v>2746</v>
      </c>
      <c r="D35" s="146">
        <f ca="1">D34</f>
        <v>1809</v>
      </c>
      <c r="E35" s="23"/>
      <c r="F35" s="140"/>
      <c r="G35" s="141"/>
      <c r="H35" s="142"/>
      <c r="I35" s="142"/>
      <c r="J35" s="142"/>
      <c r="K35" s="142"/>
      <c r="L35" s="142"/>
      <c r="M35" s="142"/>
      <c r="N35" s="142"/>
      <c r="O35" s="142"/>
      <c r="P35" s="168"/>
      <c r="Q35" s="168"/>
      <c r="R35" s="168"/>
      <c r="S35" s="168"/>
      <c r="T35" s="168"/>
      <c r="U35" s="168"/>
      <c r="V35" s="168"/>
      <c r="W35" s="168"/>
      <c r="X35" s="169"/>
    </row>
    <row r="36" spans="1:25" ht="14.25" thickBot="1">
      <c r="A36" s="93"/>
      <c r="B36" s="137" t="s">
        <v>150</v>
      </c>
      <c r="C36" s="138">
        <f ca="1">8+(H24*C14)+J24+$Q$28+(L24*$C$15)+$D$11</f>
        <v>767.2</v>
      </c>
      <c r="D36" s="139">
        <f ca="1">8+(Q24*C14)+S24+$Q$28+(U24*$C$15)+$D$11</f>
        <v>782.2</v>
      </c>
      <c r="E36" s="143"/>
      <c r="F36" s="91"/>
      <c r="G36" s="92"/>
      <c r="H36" s="103"/>
      <c r="I36" s="103"/>
      <c r="J36" s="103"/>
      <c r="K36" s="103"/>
      <c r="L36" s="103"/>
      <c r="M36" s="103"/>
      <c r="N36" s="103"/>
      <c r="O36" s="103"/>
      <c r="P36" s="170"/>
      <c r="Q36" s="170"/>
      <c r="R36" s="170"/>
      <c r="S36" s="170"/>
      <c r="T36" s="170"/>
      <c r="U36" s="170"/>
      <c r="V36" s="170"/>
      <c r="W36" s="170"/>
      <c r="X36" s="171"/>
    </row>
    <row r="37" spans="1:25">
      <c r="A37" s="93"/>
      <c r="B37" s="136"/>
      <c r="C37" s="136"/>
      <c r="D37" s="136"/>
      <c r="E37" s="84"/>
      <c r="F37" s="85"/>
      <c r="G37" s="86"/>
      <c r="H37" s="104"/>
      <c r="I37" s="104"/>
      <c r="J37" s="104"/>
      <c r="K37" s="104"/>
      <c r="L37" s="104"/>
      <c r="M37" s="104"/>
      <c r="N37" s="104"/>
      <c r="O37" s="104"/>
      <c r="P37" s="84"/>
      <c r="Q37" s="84"/>
      <c r="R37" s="84"/>
      <c r="S37" s="87"/>
      <c r="T37" s="84"/>
      <c r="U37" s="88"/>
      <c r="V37" s="84"/>
      <c r="W37" s="84"/>
      <c r="X37" s="84"/>
      <c r="Y37" s="84"/>
    </row>
    <row r="38" spans="1:25">
      <c r="A38" s="93"/>
      <c r="B38" s="83"/>
      <c r="C38" s="85"/>
      <c r="D38" s="85"/>
      <c r="E38" s="85"/>
      <c r="F38" s="85"/>
      <c r="G38" s="86"/>
      <c r="H38" s="105"/>
      <c r="I38" s="104"/>
      <c r="J38" s="104"/>
      <c r="K38" s="104"/>
      <c r="L38" s="104"/>
      <c r="M38" s="104"/>
      <c r="N38" s="104"/>
      <c r="O38" s="104"/>
      <c r="P38" s="84"/>
      <c r="Q38" s="84"/>
      <c r="R38" s="84"/>
      <c r="S38" s="87"/>
      <c r="T38" s="84"/>
      <c r="U38" s="88"/>
      <c r="V38" s="84"/>
      <c r="W38" s="84"/>
      <c r="X38" s="84"/>
      <c r="Y38" s="84"/>
    </row>
    <row r="39" spans="1:25">
      <c r="A39" s="93"/>
      <c r="B39" s="83"/>
      <c r="C39" s="85"/>
      <c r="D39" s="85"/>
      <c r="E39" s="85"/>
      <c r="F39" s="85"/>
      <c r="G39" s="86"/>
      <c r="H39" s="104"/>
      <c r="I39" s="104"/>
      <c r="J39" s="104"/>
      <c r="K39" s="104"/>
      <c r="L39" s="104"/>
      <c r="M39" s="104"/>
      <c r="N39" s="104"/>
      <c r="O39" s="104"/>
      <c r="P39" s="84"/>
      <c r="Q39" s="84"/>
      <c r="R39" s="84"/>
      <c r="S39" s="87"/>
      <c r="T39" s="84"/>
      <c r="U39" s="88"/>
      <c r="V39" s="84"/>
      <c r="W39" s="84"/>
      <c r="X39" s="84"/>
      <c r="Y39" s="84"/>
    </row>
    <row r="40" spans="1:25">
      <c r="A40" s="93"/>
      <c r="B40" s="83"/>
      <c r="C40" s="85"/>
      <c r="D40" s="85"/>
      <c r="E40" s="85"/>
      <c r="F40" s="85"/>
      <c r="G40" s="86"/>
      <c r="H40" s="104"/>
      <c r="I40" s="104"/>
      <c r="J40" s="104"/>
      <c r="K40" s="104"/>
      <c r="L40" s="104"/>
      <c r="M40" s="104"/>
      <c r="N40" s="104"/>
      <c r="O40" s="104"/>
      <c r="P40" s="84"/>
      <c r="Q40" s="84"/>
      <c r="R40" s="84"/>
      <c r="S40" s="87"/>
      <c r="T40" s="84"/>
      <c r="U40" s="88"/>
      <c r="V40" s="84"/>
      <c r="W40" s="84"/>
      <c r="X40" s="84"/>
      <c r="Y40" s="84"/>
    </row>
    <row r="41" spans="1:25">
      <c r="A41" s="93"/>
      <c r="B41" s="83"/>
      <c r="C41" s="85"/>
      <c r="D41" s="85"/>
      <c r="E41" s="85"/>
      <c r="F41" s="85"/>
      <c r="G41" s="86"/>
      <c r="H41" s="104"/>
      <c r="I41" s="104"/>
      <c r="J41" s="104"/>
      <c r="K41" s="104"/>
      <c r="L41" s="104"/>
      <c r="M41" s="104"/>
      <c r="N41" s="104"/>
      <c r="O41" s="104"/>
      <c r="P41" s="84"/>
      <c r="Q41" s="84"/>
      <c r="R41" s="84"/>
      <c r="S41" s="87"/>
      <c r="T41" s="84"/>
      <c r="U41" s="88"/>
      <c r="V41" s="84"/>
      <c r="W41" s="84"/>
      <c r="X41" s="84"/>
      <c r="Y41" s="84"/>
    </row>
    <row r="42" spans="1:25">
      <c r="A42" s="93"/>
      <c r="B42" s="83"/>
      <c r="C42" s="85"/>
      <c r="D42" s="85"/>
      <c r="E42" s="85"/>
      <c r="F42" s="85"/>
      <c r="G42" s="86"/>
      <c r="H42" s="104"/>
      <c r="I42" s="104"/>
      <c r="J42" s="104"/>
      <c r="K42" s="104"/>
      <c r="L42" s="104"/>
      <c r="M42" s="104"/>
      <c r="N42" s="104"/>
      <c r="O42" s="104"/>
      <c r="P42" s="84"/>
      <c r="Q42" s="84"/>
      <c r="R42" s="84"/>
      <c r="S42" s="87"/>
      <c r="T42" s="84"/>
      <c r="U42" s="88"/>
      <c r="V42" s="84"/>
      <c r="W42" s="84"/>
      <c r="X42" s="84"/>
      <c r="Y42" s="84"/>
    </row>
    <row r="43" spans="1: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7"/>
      <c r="T43" s="84"/>
      <c r="U43" s="88"/>
      <c r="V43" s="84"/>
      <c r="W43" s="84"/>
      <c r="X43" s="84"/>
      <c r="Y43" s="84"/>
    </row>
    <row r="44" spans="1: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7"/>
      <c r="T44" s="84"/>
      <c r="U44" s="88"/>
      <c r="V44" s="84"/>
      <c r="W44" s="84"/>
      <c r="X44" s="84"/>
      <c r="Y44" s="84"/>
    </row>
    <row r="45" spans="1: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7"/>
      <c r="T45" s="84"/>
      <c r="U45" s="88"/>
      <c r="V45" s="84"/>
      <c r="W45" s="84"/>
      <c r="X45" s="84"/>
      <c r="Y45" s="84"/>
    </row>
    <row r="46" spans="1: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7"/>
      <c r="T46" s="84"/>
      <c r="U46" s="88"/>
      <c r="V46" s="84"/>
      <c r="W46" s="84"/>
      <c r="X46" s="84"/>
      <c r="Y46" s="84"/>
    </row>
    <row r="47" spans="1: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7"/>
      <c r="T47" s="84"/>
      <c r="U47" s="88"/>
      <c r="V47" s="84"/>
      <c r="W47" s="84"/>
      <c r="X47" s="84"/>
      <c r="Y47" s="84"/>
    </row>
    <row r="48" spans="1: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7"/>
      <c r="T48" s="84"/>
      <c r="U48" s="88"/>
      <c r="V48" s="84"/>
      <c r="W48" s="84"/>
      <c r="X48" s="84"/>
      <c r="Y48" s="84"/>
    </row>
    <row r="49" spans="1: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7"/>
      <c r="T49" s="84"/>
      <c r="U49" s="88"/>
      <c r="V49" s="84"/>
      <c r="W49" s="84"/>
      <c r="X49" s="84"/>
      <c r="Y49" s="84"/>
    </row>
    <row r="50" spans="1:25">
      <c r="A50" s="93"/>
      <c r="B50" s="93"/>
      <c r="C50" s="93"/>
      <c r="D50" s="93"/>
      <c r="E50" s="93"/>
      <c r="F50" s="93"/>
      <c r="G50" s="93"/>
      <c r="Y50" s="84"/>
    </row>
    <row r="51" spans="1:25">
      <c r="A51" s="93"/>
      <c r="B51" s="93"/>
      <c r="C51" s="93"/>
      <c r="D51" s="93"/>
      <c r="E51" s="93"/>
      <c r="F51" s="93"/>
      <c r="G51" s="93"/>
    </row>
    <row r="52" spans="1:25">
      <c r="A52" s="93"/>
      <c r="B52" s="93"/>
      <c r="C52" s="93"/>
      <c r="D52" s="93"/>
      <c r="E52" s="93"/>
      <c r="F52" s="93"/>
      <c r="G52" s="93"/>
    </row>
    <row r="53" spans="1:25">
      <c r="A53" s="93"/>
      <c r="B53" s="93"/>
      <c r="C53" s="93"/>
      <c r="D53" s="93"/>
      <c r="E53" s="93"/>
      <c r="F53" s="93"/>
      <c r="G53" s="93"/>
    </row>
    <row r="54" spans="1:25">
      <c r="A54" s="93"/>
      <c r="B54" s="93"/>
      <c r="C54" s="93"/>
      <c r="D54" s="93"/>
      <c r="E54" s="93"/>
      <c r="F54" s="93"/>
      <c r="G54" s="93"/>
    </row>
    <row r="55" spans="1:25">
      <c r="A55" s="93"/>
      <c r="B55" s="93"/>
      <c r="C55" s="93"/>
      <c r="D55" s="93"/>
      <c r="E55" s="93"/>
      <c r="F55" s="93"/>
      <c r="G55" s="93"/>
    </row>
    <row r="56" spans="1:25">
      <c r="B56" s="93"/>
      <c r="C56" s="93"/>
      <c r="D56" s="93"/>
    </row>
    <row r="57" spans="1:25">
      <c r="B57" s="93"/>
      <c r="C57" s="93"/>
      <c r="D57" s="93"/>
    </row>
    <row r="58" spans="1:25">
      <c r="B58" s="93"/>
      <c r="C58" s="93"/>
      <c r="D58" s="93"/>
    </row>
  </sheetData>
  <sheetProtection password="CD83" sheet="1" objects="1" scenarios="1" selectLockedCells="1"/>
  <mergeCells count="6">
    <mergeCell ref="P33:X36"/>
    <mergeCell ref="P2:X2"/>
    <mergeCell ref="F2:O2"/>
    <mergeCell ref="B2:C2"/>
    <mergeCell ref="B6:C6"/>
    <mergeCell ref="F26:O26"/>
  </mergeCells>
  <phoneticPr fontId="3"/>
  <dataValidations count="30">
    <dataValidation type="whole" allowBlank="1" showInputMessage="1" showErrorMessage="1" sqref="Q26">
      <formula1>0</formula1>
      <formula2>2100</formula2>
    </dataValidation>
    <dataValidation type="whole" allowBlank="1" showInputMessage="1" showErrorMessage="1" sqref="Q23:X23 H23:O23">
      <formula1>-999</formula1>
      <formula2>999</formula2>
    </dataValidation>
    <dataValidation type="list" allowBlank="1" showInputMessage="1" showErrorMessage="1" sqref="P10 G10">
      <formula1>頭一覧</formula1>
    </dataValidation>
    <dataValidation type="list" allowBlank="1" showInputMessage="1" showErrorMessage="1" sqref="P11 G11">
      <formula1>胴一覧</formula1>
    </dataValidation>
    <dataValidation type="list" allowBlank="1" showInputMessage="1" showErrorMessage="1" sqref="P12 G12">
      <formula1>両手一覧</formula1>
    </dataValidation>
    <dataValidation type="list" allowBlank="1" showInputMessage="1" showErrorMessage="1" sqref="P13 G13">
      <formula1>両脚一覧</formula1>
    </dataValidation>
    <dataValidation type="list" allowBlank="1" showInputMessage="1" showErrorMessage="1" sqref="P14 G14">
      <formula1>両足一覧</formula1>
    </dataValidation>
    <dataValidation type="list" allowBlank="1" showInputMessage="1" showErrorMessage="1" sqref="P15:P16 G15:G16">
      <formula1>耳一覧</formula1>
    </dataValidation>
    <dataValidation type="list" allowBlank="1" showInputMessage="1" showErrorMessage="1" sqref="P17:P18 G17:G18">
      <formula1>指一覧</formula1>
    </dataValidation>
    <dataValidation type="list" allowBlank="1" showInputMessage="1" showErrorMessage="1" sqref="P19 G19">
      <formula1>首一覧</formula1>
    </dataValidation>
    <dataValidation type="list" allowBlank="1" showInputMessage="1" showErrorMessage="1" sqref="P20 G20">
      <formula1>腰一覧</formula1>
    </dataValidation>
    <dataValidation type="list" allowBlank="1" showInputMessage="1" showErrorMessage="1" sqref="P21 G21">
      <formula1>背一覧</formula1>
    </dataValidation>
    <dataValidation type="list" allowBlank="1" showInputMessage="1" showErrorMessage="1" sqref="P5 G5">
      <formula1>食事一覧</formula1>
    </dataValidation>
    <dataValidation type="list" allowBlank="1" showInputMessage="1" showErrorMessage="1" sqref="P6 G6">
      <formula1>遠隔一覧</formula1>
    </dataValidation>
    <dataValidation type="list" allowBlank="1" showInputMessage="1" showErrorMessage="1" sqref="P7 G7">
      <formula1>矢弾一覧</formula1>
    </dataValidation>
    <dataValidation type="list" allowBlank="1" showInputMessage="1" showErrorMessage="1" sqref="P8 G8">
      <formula1>メイン一覧</formula1>
    </dataValidation>
    <dataValidation type="list" allowBlank="1" showInputMessage="1" showErrorMessage="1" sqref="P9 G9">
      <formula1>サブ一覧</formula1>
    </dataValidation>
    <dataValidation type="list" allowBlank="1" showInputMessage="1" showErrorMessage="1" sqref="P4 G4">
      <formula1>サポ種族一覧</formula1>
    </dataValidation>
    <dataValidation type="list" allowBlank="1" showInputMessage="1" showErrorMessage="1" sqref="C12">
      <formula1>"0%,10%"</formula1>
    </dataValidation>
    <dataValidation type="list" allowBlank="1" showInputMessage="1" showErrorMessage="1" sqref="C13">
      <formula1>"0%,10%,25%"</formula1>
    </dataValidation>
    <dataValidation type="list" allowBlank="1" showInputMessage="1" showErrorMessage="1" sqref="C14">
      <formula1>"0.8,0.9,1.0"</formula1>
    </dataValidation>
    <dataValidation type="whole" allowBlank="1" showInputMessage="1" showErrorMessage="1" sqref="C3">
      <formula1>1</formula1>
      <formula2>999</formula2>
    </dataValidation>
    <dataValidation type="whole" allowBlank="1" showInputMessage="1" showErrorMessage="1" sqref="C4">
      <formula1>50</formula1>
      <formula2>9999</formula2>
    </dataValidation>
    <dataValidation type="list" allowBlank="1" showInputMessage="1" showErrorMessage="1" sqref="C15">
      <formula1>"0.00,0.25,0.50,0.75,1.00"</formula1>
    </dataValidation>
    <dataValidation type="list" allowBlank="1" showInputMessage="1" showErrorMessage="1" sqref="C9">
      <formula1>"0,3,5,7,8"</formula1>
    </dataValidation>
    <dataValidation type="list" allowBlank="1" showInputMessage="1" showErrorMessage="1" sqref="C10:C11">
      <formula1>ロールインデックス</formula1>
    </dataValidation>
    <dataValidation type="whole" allowBlank="1" showInputMessage="1" showErrorMessage="1" sqref="C8">
      <formula1>1000</formula1>
      <formula2>3000</formula2>
    </dataValidation>
    <dataValidation type="whole" allowBlank="1" showInputMessage="1" showErrorMessage="1" sqref="I28:N34 Q29">
      <formula1>0</formula1>
      <formula2>50</formula2>
    </dataValidation>
    <dataValidation type="whole" allowBlank="1" showInputMessage="1" showErrorMessage="1" sqref="H28:H34">
      <formula1>0</formula1>
      <formula2>999</formula2>
    </dataValidation>
    <dataValidation type="whole" allowBlank="1" showInputMessage="1" showErrorMessage="1" sqref="O28:O34">
      <formula1>0</formula1>
      <formula2>1000</formula2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workbookViewId="0">
      <pane ySplit="1" topLeftCell="A2" activePane="bottomLeft" state="frozen"/>
      <selection pane="bottomLeft"/>
    </sheetView>
  </sheetViews>
  <sheetFormatPr defaultRowHeight="13.5"/>
  <cols>
    <col min="1" max="1" width="21.875" bestFit="1" customWidth="1"/>
    <col min="2" max="2" width="4.625" bestFit="1" customWidth="1"/>
    <col min="3" max="3" width="6.875" bestFit="1" customWidth="1"/>
    <col min="4" max="4" width="6.5" bestFit="1" customWidth="1"/>
    <col min="5" max="6" width="5.25" bestFit="1" customWidth="1"/>
    <col min="7" max="7" width="4.375" bestFit="1" customWidth="1"/>
    <col min="8" max="8" width="5.875" bestFit="1" customWidth="1"/>
    <col min="9" max="9" width="5" bestFit="1" customWidth="1"/>
    <col min="10" max="10" width="5.5" bestFit="1" customWidth="1"/>
    <col min="11" max="11" width="5.875" bestFit="1" customWidth="1"/>
  </cols>
  <sheetData>
    <row r="1" spans="1:10">
      <c r="A1" s="1" t="s">
        <v>17</v>
      </c>
      <c r="B1" s="1" t="s">
        <v>18</v>
      </c>
      <c r="C1" t="s">
        <v>11</v>
      </c>
      <c r="D1" t="s">
        <v>68</v>
      </c>
      <c r="E1" s="1" t="s">
        <v>69</v>
      </c>
      <c r="F1" t="s">
        <v>70</v>
      </c>
      <c r="G1" t="s">
        <v>14</v>
      </c>
      <c r="H1" s="1" t="s">
        <v>71</v>
      </c>
      <c r="I1" s="1" t="s">
        <v>72</v>
      </c>
      <c r="J1" s="1" t="s">
        <v>56</v>
      </c>
    </row>
    <row r="3" spans="1:10">
      <c r="A3" s="1" t="s">
        <v>39</v>
      </c>
      <c r="B3" s="1" t="s">
        <v>18</v>
      </c>
      <c r="C3" t="s">
        <v>11</v>
      </c>
      <c r="D3" t="s">
        <v>68</v>
      </c>
      <c r="E3" s="1" t="s">
        <v>69</v>
      </c>
      <c r="F3" t="s">
        <v>70</v>
      </c>
      <c r="G3" t="s">
        <v>0</v>
      </c>
      <c r="H3" s="1" t="s">
        <v>71</v>
      </c>
      <c r="I3" s="1" t="s">
        <v>72</v>
      </c>
      <c r="J3" s="1" t="s">
        <v>55</v>
      </c>
    </row>
    <row r="4" spans="1:10">
      <c r="A4" s="1" t="s">
        <v>81</v>
      </c>
      <c r="C4">
        <v>398</v>
      </c>
      <c r="G4">
        <v>88</v>
      </c>
    </row>
    <row r="5" spans="1:10">
      <c r="A5" s="1" t="s">
        <v>163</v>
      </c>
      <c r="C5">
        <v>398</v>
      </c>
      <c r="F5">
        <v>24</v>
      </c>
      <c r="G5">
        <v>88</v>
      </c>
    </row>
    <row r="6" spans="1:10">
      <c r="A6" t="s">
        <v>29</v>
      </c>
      <c r="C6">
        <v>398</v>
      </c>
      <c r="G6">
        <v>88</v>
      </c>
    </row>
    <row r="7" spans="1:10">
      <c r="A7" t="s">
        <v>30</v>
      </c>
      <c r="C7">
        <v>398</v>
      </c>
      <c r="G7">
        <v>92</v>
      </c>
    </row>
    <row r="8" spans="1:10">
      <c r="A8" s="1" t="s">
        <v>82</v>
      </c>
      <c r="C8">
        <v>398</v>
      </c>
      <c r="G8">
        <v>82</v>
      </c>
    </row>
    <row r="9" spans="1:10">
      <c r="A9" s="1" t="s">
        <v>164</v>
      </c>
      <c r="C9">
        <v>398</v>
      </c>
      <c r="F9">
        <v>24</v>
      </c>
      <c r="G9">
        <v>82</v>
      </c>
    </row>
    <row r="10" spans="1:10">
      <c r="A10" t="s">
        <v>31</v>
      </c>
      <c r="C10">
        <v>398</v>
      </c>
      <c r="G10">
        <v>82</v>
      </c>
    </row>
    <row r="11" spans="1:10">
      <c r="A11" t="s">
        <v>32</v>
      </c>
      <c r="C11">
        <v>398</v>
      </c>
      <c r="G11">
        <v>86</v>
      </c>
    </row>
    <row r="12" spans="1:10">
      <c r="A12" s="1" t="s">
        <v>83</v>
      </c>
      <c r="C12">
        <v>398</v>
      </c>
      <c r="G12">
        <v>91</v>
      </c>
    </row>
    <row r="13" spans="1:10">
      <c r="A13" s="1" t="s">
        <v>165</v>
      </c>
      <c r="C13">
        <v>398</v>
      </c>
      <c r="F13">
        <v>24</v>
      </c>
      <c r="G13">
        <v>91</v>
      </c>
    </row>
    <row r="14" spans="1:10">
      <c r="A14" t="s">
        <v>33</v>
      </c>
      <c r="C14">
        <v>398</v>
      </c>
      <c r="G14">
        <v>91</v>
      </c>
    </row>
    <row r="15" spans="1:10">
      <c r="A15" t="s">
        <v>34</v>
      </c>
      <c r="C15">
        <v>398</v>
      </c>
      <c r="G15">
        <v>95</v>
      </c>
    </row>
    <row r="16" spans="1:10">
      <c r="A16" s="1" t="s">
        <v>84</v>
      </c>
      <c r="C16">
        <v>398</v>
      </c>
      <c r="G16">
        <v>93</v>
      </c>
    </row>
    <row r="17" spans="1:10">
      <c r="A17" s="1" t="s">
        <v>166</v>
      </c>
      <c r="C17">
        <v>398</v>
      </c>
      <c r="F17">
        <v>24</v>
      </c>
      <c r="G17">
        <v>93</v>
      </c>
    </row>
    <row r="18" spans="1:10">
      <c r="A18" t="s">
        <v>35</v>
      </c>
      <c r="C18">
        <v>398</v>
      </c>
      <c r="G18">
        <v>93</v>
      </c>
    </row>
    <row r="19" spans="1:10">
      <c r="A19" t="s">
        <v>36</v>
      </c>
      <c r="C19">
        <v>398</v>
      </c>
      <c r="G19">
        <v>97</v>
      </c>
    </row>
    <row r="20" spans="1:10">
      <c r="A20" s="1" t="s">
        <v>85</v>
      </c>
      <c r="C20">
        <v>398</v>
      </c>
      <c r="G20">
        <v>85</v>
      </c>
    </row>
    <row r="21" spans="1:10">
      <c r="A21" s="1" t="s">
        <v>167</v>
      </c>
      <c r="C21">
        <v>398</v>
      </c>
      <c r="F21">
        <v>24</v>
      </c>
      <c r="G21">
        <v>85</v>
      </c>
    </row>
    <row r="22" spans="1:10">
      <c r="A22" t="s">
        <v>37</v>
      </c>
      <c r="C22">
        <v>398</v>
      </c>
      <c r="G22">
        <v>85</v>
      </c>
    </row>
    <row r="23" spans="1:10">
      <c r="A23" t="s">
        <v>38</v>
      </c>
      <c r="C23">
        <v>398</v>
      </c>
      <c r="G23">
        <v>89</v>
      </c>
    </row>
    <row r="25" spans="1:10">
      <c r="A25" s="2" t="s">
        <v>15</v>
      </c>
      <c r="B25" s="1" t="s">
        <v>18</v>
      </c>
      <c r="C25" t="s">
        <v>11</v>
      </c>
      <c r="D25" t="s">
        <v>68</v>
      </c>
      <c r="E25" s="1" t="s">
        <v>69</v>
      </c>
      <c r="F25" t="s">
        <v>70</v>
      </c>
      <c r="G25" t="s">
        <v>0</v>
      </c>
      <c r="H25" s="1" t="s">
        <v>71</v>
      </c>
      <c r="I25" s="1" t="s">
        <v>72</v>
      </c>
      <c r="J25" s="1" t="s">
        <v>55</v>
      </c>
    </row>
    <row r="26" spans="1:10">
      <c r="A26" s="4" t="s">
        <v>42</v>
      </c>
      <c r="B26" s="1"/>
      <c r="C26" s="2"/>
      <c r="D26" s="2"/>
      <c r="E26" s="1"/>
      <c r="F26" s="2"/>
      <c r="G26" s="2"/>
      <c r="H26" s="2"/>
      <c r="I26" s="2"/>
      <c r="J26" s="1"/>
    </row>
    <row r="27" spans="1:10">
      <c r="A27" s="2" t="s">
        <v>97</v>
      </c>
      <c r="B27" s="2"/>
      <c r="C27" s="2"/>
      <c r="D27" s="2"/>
      <c r="E27" s="2">
        <v>45</v>
      </c>
      <c r="F27" s="2"/>
      <c r="G27" s="2"/>
      <c r="H27" s="2"/>
      <c r="I27" s="2"/>
    </row>
    <row r="28" spans="1:10">
      <c r="A28" s="2" t="s">
        <v>98</v>
      </c>
      <c r="B28" s="2"/>
      <c r="C28" s="2"/>
      <c r="D28" s="2"/>
      <c r="E28" s="2">
        <v>50</v>
      </c>
      <c r="F28" s="2"/>
      <c r="G28" s="2"/>
      <c r="H28" s="2"/>
      <c r="I28" s="2"/>
    </row>
    <row r="29" spans="1:10">
      <c r="A29" s="2" t="s">
        <v>99</v>
      </c>
      <c r="B29" s="2"/>
      <c r="C29" s="2"/>
      <c r="D29" s="2"/>
      <c r="E29" s="2">
        <v>90</v>
      </c>
      <c r="F29" s="2"/>
      <c r="G29" s="2"/>
      <c r="H29" s="2"/>
      <c r="I29" s="2"/>
    </row>
    <row r="30" spans="1:10">
      <c r="A30" s="2" t="s">
        <v>100</v>
      </c>
      <c r="B30" s="2"/>
      <c r="C30" s="2"/>
      <c r="D30" s="2"/>
      <c r="E30" s="4">
        <v>95</v>
      </c>
      <c r="F30" s="2"/>
      <c r="G30" s="2"/>
      <c r="H30" s="2"/>
      <c r="I30" s="2"/>
    </row>
    <row r="31" spans="1:10">
      <c r="A31" s="2" t="s">
        <v>244</v>
      </c>
      <c r="B31" s="2"/>
      <c r="C31" s="2"/>
      <c r="D31" s="2"/>
      <c r="E31" s="4"/>
      <c r="F31" s="2">
        <v>3</v>
      </c>
      <c r="G31" s="2"/>
      <c r="H31" s="2"/>
      <c r="I31" s="2"/>
    </row>
    <row r="32" spans="1:10">
      <c r="A32" s="4" t="s">
        <v>245</v>
      </c>
      <c r="B32" s="2"/>
      <c r="C32" s="2"/>
      <c r="D32" s="2"/>
      <c r="E32" s="4"/>
      <c r="F32" s="2">
        <v>4</v>
      </c>
      <c r="G32" s="2"/>
      <c r="H32" s="2"/>
      <c r="I32" s="2"/>
    </row>
    <row r="33" spans="1:10">
      <c r="A33" s="4" t="s">
        <v>246</v>
      </c>
      <c r="B33" s="2"/>
      <c r="C33" s="2"/>
      <c r="D33" s="2"/>
      <c r="E33" s="4"/>
      <c r="F33" s="2">
        <v>13</v>
      </c>
      <c r="G33" s="2"/>
      <c r="H33" s="2"/>
      <c r="I33" s="2"/>
    </row>
    <row r="34" spans="1:10">
      <c r="A34" s="3" t="s">
        <v>247</v>
      </c>
      <c r="B34" s="2"/>
      <c r="C34" s="2"/>
      <c r="D34" s="2"/>
      <c r="E34" s="4"/>
      <c r="F34" s="2">
        <v>15</v>
      </c>
      <c r="G34" s="2"/>
      <c r="H34" s="2"/>
      <c r="I34" s="2"/>
    </row>
    <row r="35" spans="1:10">
      <c r="A35" s="4" t="s">
        <v>248</v>
      </c>
      <c r="B35" s="2"/>
      <c r="C35" s="2"/>
      <c r="D35" s="2"/>
      <c r="E35" s="4"/>
      <c r="F35" s="4">
        <v>10</v>
      </c>
      <c r="G35" s="2">
        <v>10</v>
      </c>
      <c r="H35" s="2"/>
      <c r="I35" s="2"/>
    </row>
    <row r="36" spans="1:10">
      <c r="A36" s="4" t="s">
        <v>249</v>
      </c>
      <c r="B36" s="2"/>
      <c r="C36" s="2"/>
      <c r="D36" s="2"/>
      <c r="E36" s="4"/>
      <c r="F36" s="4">
        <v>15</v>
      </c>
      <c r="G36" s="2">
        <v>15</v>
      </c>
      <c r="H36" s="2"/>
      <c r="I36" s="2"/>
    </row>
    <row r="37" spans="1:10">
      <c r="A37" s="4" t="s">
        <v>250</v>
      </c>
      <c r="B37" s="2"/>
      <c r="C37" s="2"/>
      <c r="D37" s="2"/>
      <c r="E37" s="4"/>
      <c r="F37" s="4">
        <v>20</v>
      </c>
      <c r="G37" s="2">
        <v>20</v>
      </c>
      <c r="H37" s="2"/>
      <c r="I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</row>
    <row r="39" spans="1:10">
      <c r="A39" s="3" t="s">
        <v>12</v>
      </c>
      <c r="B39" s="1" t="s">
        <v>18</v>
      </c>
      <c r="C39" t="s">
        <v>11</v>
      </c>
      <c r="D39" t="s">
        <v>68</v>
      </c>
      <c r="E39" s="1" t="s">
        <v>69</v>
      </c>
      <c r="F39" t="s">
        <v>70</v>
      </c>
      <c r="G39" t="s">
        <v>0</v>
      </c>
      <c r="H39" s="1" t="s">
        <v>71</v>
      </c>
      <c r="I39" s="1" t="s">
        <v>72</v>
      </c>
      <c r="J39" s="1" t="s">
        <v>55</v>
      </c>
    </row>
    <row r="40" spans="1:10">
      <c r="A40" s="15" t="s">
        <v>101</v>
      </c>
      <c r="B40" s="2">
        <v>167</v>
      </c>
      <c r="C40" s="2">
        <v>269</v>
      </c>
      <c r="D40" s="2">
        <v>155</v>
      </c>
      <c r="E40" s="3">
        <v>40</v>
      </c>
      <c r="F40" s="4"/>
      <c r="G40" s="2"/>
      <c r="H40" s="2"/>
      <c r="I40" s="2"/>
      <c r="J40">
        <v>500</v>
      </c>
    </row>
    <row r="41" spans="1:10">
      <c r="A41" s="15" t="s">
        <v>223</v>
      </c>
      <c r="B41" s="2">
        <v>176</v>
      </c>
      <c r="C41" s="2">
        <v>269</v>
      </c>
      <c r="D41" s="2">
        <v>155</v>
      </c>
      <c r="E41" s="3">
        <v>70</v>
      </c>
      <c r="F41" s="4"/>
      <c r="G41" s="2"/>
      <c r="H41" s="2"/>
      <c r="I41" s="2"/>
      <c r="J41">
        <v>500</v>
      </c>
    </row>
    <row r="42" spans="1:10">
      <c r="A42" s="15" t="s">
        <v>102</v>
      </c>
      <c r="B42">
        <v>143</v>
      </c>
      <c r="C42">
        <v>269</v>
      </c>
      <c r="D42">
        <v>217</v>
      </c>
      <c r="E42" s="3"/>
      <c r="G42">
        <v>50</v>
      </c>
    </row>
    <row r="43" spans="1:10">
      <c r="A43" s="15" t="s">
        <v>224</v>
      </c>
      <c r="B43">
        <v>151</v>
      </c>
      <c r="C43">
        <v>269</v>
      </c>
      <c r="D43">
        <v>217</v>
      </c>
      <c r="E43" s="3"/>
      <c r="G43">
        <v>70</v>
      </c>
    </row>
    <row r="44" spans="1:10">
      <c r="A44" s="15" t="s">
        <v>103</v>
      </c>
      <c r="B44">
        <v>101</v>
      </c>
      <c r="C44">
        <v>269</v>
      </c>
      <c r="D44">
        <v>217</v>
      </c>
      <c r="E44" s="3"/>
    </row>
    <row r="45" spans="1:10">
      <c r="A45" s="15" t="s">
        <v>213</v>
      </c>
      <c r="B45">
        <v>107</v>
      </c>
      <c r="C45">
        <v>269</v>
      </c>
      <c r="D45">
        <v>217</v>
      </c>
      <c r="E45" s="3">
        <v>30</v>
      </c>
    </row>
    <row r="46" spans="1:10">
      <c r="A46" s="15" t="s">
        <v>104</v>
      </c>
      <c r="B46">
        <v>103</v>
      </c>
      <c r="C46">
        <v>242</v>
      </c>
      <c r="F46">
        <v>30</v>
      </c>
      <c r="G46">
        <v>25</v>
      </c>
    </row>
    <row r="47" spans="1:10">
      <c r="A47" s="15" t="s">
        <v>105</v>
      </c>
      <c r="B47">
        <v>39</v>
      </c>
      <c r="J47">
        <v>1000</v>
      </c>
    </row>
    <row r="49" spans="1:10">
      <c r="A49" t="s">
        <v>13</v>
      </c>
      <c r="B49" s="1" t="s">
        <v>18</v>
      </c>
      <c r="C49" t="s">
        <v>11</v>
      </c>
      <c r="D49" t="s">
        <v>68</v>
      </c>
      <c r="E49" s="1" t="s">
        <v>69</v>
      </c>
      <c r="F49" t="s">
        <v>70</v>
      </c>
      <c r="G49" t="s">
        <v>0</v>
      </c>
      <c r="H49" s="1" t="s">
        <v>71</v>
      </c>
      <c r="I49" s="1" t="s">
        <v>72</v>
      </c>
      <c r="J49" s="1" t="s">
        <v>55</v>
      </c>
    </row>
    <row r="50" spans="1:10">
      <c r="A50" s="1" t="s">
        <v>106</v>
      </c>
      <c r="B50" s="1">
        <v>245</v>
      </c>
      <c r="E50" s="1">
        <v>25</v>
      </c>
      <c r="F50">
        <v>35</v>
      </c>
    </row>
    <row r="51" spans="1:10">
      <c r="A51" s="1" t="s">
        <v>107</v>
      </c>
      <c r="B51" s="1">
        <v>277</v>
      </c>
      <c r="E51" s="1">
        <v>35</v>
      </c>
    </row>
    <row r="52" spans="1:10">
      <c r="A52" s="1" t="s">
        <v>108</v>
      </c>
      <c r="B52" s="1">
        <v>89</v>
      </c>
      <c r="E52" s="1"/>
      <c r="F52">
        <v>2</v>
      </c>
    </row>
    <row r="53" spans="1:10">
      <c r="A53" s="1" t="s">
        <v>109</v>
      </c>
      <c r="B53" s="1">
        <v>300</v>
      </c>
    </row>
    <row r="55" spans="1:10">
      <c r="A55" s="1" t="s">
        <v>9</v>
      </c>
      <c r="B55" s="1" t="s">
        <v>18</v>
      </c>
      <c r="C55" t="s">
        <v>11</v>
      </c>
      <c r="D55" t="s">
        <v>68</v>
      </c>
      <c r="E55" s="1" t="s">
        <v>69</v>
      </c>
      <c r="F55" t="s">
        <v>70</v>
      </c>
      <c r="G55" t="s">
        <v>0</v>
      </c>
      <c r="H55" s="1" t="s">
        <v>71</v>
      </c>
      <c r="I55" s="1" t="s">
        <v>72</v>
      </c>
      <c r="J55" s="1" t="s">
        <v>55</v>
      </c>
    </row>
    <row r="56" spans="1:10">
      <c r="A56" s="1" t="s">
        <v>218</v>
      </c>
      <c r="B56" s="1">
        <v>131</v>
      </c>
      <c r="C56">
        <v>242</v>
      </c>
      <c r="D56">
        <v>201</v>
      </c>
      <c r="E56" s="1">
        <v>40</v>
      </c>
      <c r="H56" s="1"/>
      <c r="I56" s="1"/>
      <c r="J56" s="1"/>
    </row>
    <row r="57" spans="1:10">
      <c r="A57" s="1" t="s">
        <v>215</v>
      </c>
      <c r="B57" s="1">
        <v>132</v>
      </c>
      <c r="C57">
        <v>255</v>
      </c>
      <c r="D57">
        <v>217</v>
      </c>
      <c r="E57" s="1">
        <v>50</v>
      </c>
      <c r="H57" s="1"/>
      <c r="I57" s="1"/>
      <c r="J57" s="1"/>
    </row>
    <row r="58" spans="1:10">
      <c r="A58" s="1" t="s">
        <v>216</v>
      </c>
      <c r="B58" s="1">
        <v>125</v>
      </c>
      <c r="C58">
        <v>250</v>
      </c>
      <c r="D58">
        <v>217</v>
      </c>
      <c r="E58" s="1">
        <v>40</v>
      </c>
      <c r="F58" s="1">
        <v>16</v>
      </c>
      <c r="H58" s="1"/>
      <c r="I58" s="1"/>
      <c r="J58" s="1"/>
    </row>
    <row r="59" spans="1:10">
      <c r="A59" s="1" t="s">
        <v>217</v>
      </c>
      <c r="B59" s="1">
        <v>166</v>
      </c>
      <c r="C59">
        <v>250</v>
      </c>
      <c r="D59">
        <v>217</v>
      </c>
      <c r="E59" s="1">
        <v>40</v>
      </c>
      <c r="F59" s="1">
        <v>16</v>
      </c>
      <c r="H59" s="1"/>
      <c r="I59" s="1"/>
      <c r="J59" s="1"/>
    </row>
    <row r="60" spans="1:10">
      <c r="A60" s="1" t="s">
        <v>214</v>
      </c>
      <c r="B60">
        <v>110</v>
      </c>
      <c r="C60">
        <v>188</v>
      </c>
      <c r="E60">
        <v>45</v>
      </c>
    </row>
    <row r="61" spans="1:10">
      <c r="A61" s="1" t="s">
        <v>192</v>
      </c>
      <c r="B61">
        <v>35</v>
      </c>
      <c r="C61">
        <v>0</v>
      </c>
      <c r="G61">
        <v>2</v>
      </c>
    </row>
    <row r="62" spans="1:10">
      <c r="A62" s="1" t="s">
        <v>193</v>
      </c>
      <c r="B62">
        <v>35</v>
      </c>
      <c r="C62">
        <v>0</v>
      </c>
      <c r="G62">
        <v>5</v>
      </c>
    </row>
    <row r="64" spans="1:10">
      <c r="A64" s="1" t="s">
        <v>10</v>
      </c>
      <c r="B64" s="1" t="s">
        <v>18</v>
      </c>
      <c r="C64" t="s">
        <v>11</v>
      </c>
      <c r="D64" t="s">
        <v>68</v>
      </c>
      <c r="E64" s="1" t="s">
        <v>69</v>
      </c>
      <c r="F64" t="s">
        <v>70</v>
      </c>
      <c r="G64" t="s">
        <v>0</v>
      </c>
      <c r="H64" s="1" t="s">
        <v>71</v>
      </c>
      <c r="I64" s="1" t="s">
        <v>72</v>
      </c>
      <c r="J64" s="1" t="s">
        <v>55</v>
      </c>
    </row>
    <row r="65" spans="1:10">
      <c r="A65" s="1" t="s">
        <v>42</v>
      </c>
      <c r="B65" s="1"/>
      <c r="C65" s="2"/>
      <c r="D65" s="2"/>
      <c r="E65" s="1"/>
      <c r="F65" s="2"/>
      <c r="G65" s="2"/>
      <c r="H65" s="2"/>
      <c r="I65" s="2"/>
      <c r="J65" s="1"/>
    </row>
    <row r="66" spans="1:10">
      <c r="A66" s="1" t="s">
        <v>62</v>
      </c>
      <c r="B66" s="1"/>
      <c r="C66" s="2"/>
      <c r="D66" s="2"/>
      <c r="E66" s="1"/>
      <c r="F66" s="2"/>
      <c r="G66" s="2"/>
      <c r="H66" s="2"/>
      <c r="I66" s="2"/>
      <c r="J66" s="1"/>
    </row>
    <row r="67" spans="1:10">
      <c r="A67" s="1" t="s">
        <v>218</v>
      </c>
      <c r="B67" s="1">
        <v>131</v>
      </c>
      <c r="C67">
        <v>242</v>
      </c>
      <c r="D67">
        <v>201</v>
      </c>
      <c r="E67" s="1">
        <v>40</v>
      </c>
      <c r="H67" s="1"/>
      <c r="I67" s="1"/>
      <c r="J67" s="1"/>
    </row>
    <row r="68" spans="1:10">
      <c r="A68" s="1" t="s">
        <v>215</v>
      </c>
      <c r="B68" s="1">
        <v>132</v>
      </c>
      <c r="C68">
        <v>255</v>
      </c>
      <c r="D68">
        <v>217</v>
      </c>
      <c r="E68" s="1">
        <v>50</v>
      </c>
      <c r="H68" s="1"/>
      <c r="I68" s="1"/>
      <c r="J68" s="1"/>
    </row>
    <row r="69" spans="1:10">
      <c r="A69" s="1" t="s">
        <v>216</v>
      </c>
      <c r="B69" s="1">
        <v>125</v>
      </c>
      <c r="C69">
        <v>250</v>
      </c>
      <c r="D69">
        <v>217</v>
      </c>
      <c r="E69" s="1">
        <v>40</v>
      </c>
      <c r="F69" s="1">
        <v>16</v>
      </c>
      <c r="H69" s="1"/>
      <c r="I69" s="1"/>
      <c r="J69" s="1"/>
    </row>
    <row r="70" spans="1:10">
      <c r="A70" s="1" t="s">
        <v>217</v>
      </c>
      <c r="B70" s="1">
        <v>166</v>
      </c>
      <c r="C70">
        <v>250</v>
      </c>
      <c r="D70">
        <v>217</v>
      </c>
      <c r="E70" s="1">
        <v>40</v>
      </c>
      <c r="F70" s="1">
        <v>16</v>
      </c>
      <c r="H70" s="1"/>
      <c r="I70" s="1"/>
      <c r="J70" s="1"/>
    </row>
    <row r="71" spans="1:10">
      <c r="A71" s="1" t="s">
        <v>214</v>
      </c>
      <c r="B71">
        <v>110</v>
      </c>
      <c r="C71">
        <v>188</v>
      </c>
      <c r="E71">
        <v>45</v>
      </c>
    </row>
    <row r="72" spans="1:10">
      <c r="A72" s="1" t="s">
        <v>161</v>
      </c>
      <c r="B72">
        <v>97</v>
      </c>
      <c r="E72">
        <v>45</v>
      </c>
      <c r="G72">
        <v>12</v>
      </c>
    </row>
    <row r="73" spans="1:10">
      <c r="A73" s="1" t="s">
        <v>162</v>
      </c>
      <c r="B73">
        <v>97</v>
      </c>
      <c r="E73">
        <v>30</v>
      </c>
      <c r="F73">
        <v>15</v>
      </c>
      <c r="G73">
        <v>12</v>
      </c>
    </row>
    <row r="74" spans="1:10">
      <c r="A74" s="1" t="s">
        <v>194</v>
      </c>
      <c r="E74">
        <v>5</v>
      </c>
      <c r="F74">
        <v>5</v>
      </c>
    </row>
    <row r="76" spans="1:10">
      <c r="A76" t="s">
        <v>1</v>
      </c>
      <c r="B76" s="1" t="s">
        <v>18</v>
      </c>
      <c r="C76" t="s">
        <v>11</v>
      </c>
      <c r="D76" t="s">
        <v>68</v>
      </c>
      <c r="E76" s="1" t="s">
        <v>69</v>
      </c>
      <c r="F76" t="s">
        <v>70</v>
      </c>
      <c r="G76" t="s">
        <v>0</v>
      </c>
      <c r="H76" s="1" t="s">
        <v>71</v>
      </c>
      <c r="I76" s="1" t="s">
        <v>72</v>
      </c>
      <c r="J76" s="1" t="s">
        <v>55</v>
      </c>
    </row>
    <row r="77" spans="1:10">
      <c r="A77" s="1" t="s">
        <v>124</v>
      </c>
      <c r="E77">
        <v>56</v>
      </c>
      <c r="G77">
        <v>39</v>
      </c>
    </row>
    <row r="78" spans="1:10">
      <c r="A78" s="1" t="s">
        <v>235</v>
      </c>
      <c r="E78">
        <v>50</v>
      </c>
      <c r="F78">
        <v>45</v>
      </c>
      <c r="G78">
        <v>29</v>
      </c>
    </row>
    <row r="79" spans="1:10">
      <c r="A79" s="1" t="s">
        <v>195</v>
      </c>
      <c r="E79">
        <v>40</v>
      </c>
      <c r="F79">
        <v>30</v>
      </c>
      <c r="G79">
        <v>23</v>
      </c>
      <c r="H79">
        <v>8</v>
      </c>
    </row>
    <row r="80" spans="1:10">
      <c r="A80" s="1" t="s">
        <v>225</v>
      </c>
      <c r="E80">
        <v>40</v>
      </c>
      <c r="F80">
        <v>30</v>
      </c>
      <c r="G80">
        <v>23</v>
      </c>
      <c r="H80">
        <v>11</v>
      </c>
    </row>
    <row r="81" spans="1:10">
      <c r="A81" s="1" t="s">
        <v>196</v>
      </c>
      <c r="D81">
        <v>20</v>
      </c>
      <c r="E81">
        <v>40</v>
      </c>
      <c r="F81">
        <v>55</v>
      </c>
      <c r="G81">
        <v>23</v>
      </c>
    </row>
    <row r="82" spans="1:10">
      <c r="A82" s="1" t="s">
        <v>226</v>
      </c>
      <c r="D82">
        <v>30</v>
      </c>
      <c r="E82">
        <v>50</v>
      </c>
      <c r="F82">
        <v>65</v>
      </c>
      <c r="G82">
        <v>23</v>
      </c>
    </row>
    <row r="83" spans="1:10">
      <c r="A83" s="1" t="s">
        <v>123</v>
      </c>
      <c r="I83">
        <v>28</v>
      </c>
    </row>
    <row r="84" spans="1:10">
      <c r="A84" s="1" t="s">
        <v>61</v>
      </c>
      <c r="C84">
        <f>計算!H28</f>
        <v>0</v>
      </c>
      <c r="D84">
        <f>計算!I28</f>
        <v>0</v>
      </c>
      <c r="E84">
        <f>計算!J28</f>
        <v>35</v>
      </c>
      <c r="F84">
        <f>計算!K28+10</f>
        <v>45</v>
      </c>
      <c r="G84">
        <f>計算!L28+25</f>
        <v>25</v>
      </c>
      <c r="H84">
        <f>計算!M28</f>
        <v>0</v>
      </c>
      <c r="I84">
        <f>計算!N28</f>
        <v>0</v>
      </c>
      <c r="J84">
        <f>計算!O28</f>
        <v>0</v>
      </c>
    </row>
    <row r="86" spans="1:10">
      <c r="A86" t="s">
        <v>2</v>
      </c>
      <c r="B86" s="1" t="s">
        <v>18</v>
      </c>
      <c r="C86" t="s">
        <v>11</v>
      </c>
      <c r="D86" t="s">
        <v>68</v>
      </c>
      <c r="E86" s="1" t="s">
        <v>69</v>
      </c>
      <c r="F86" t="s">
        <v>70</v>
      </c>
      <c r="G86" t="s">
        <v>0</v>
      </c>
      <c r="H86" s="1" t="s">
        <v>71</v>
      </c>
      <c r="I86" s="1" t="s">
        <v>72</v>
      </c>
      <c r="J86" s="1" t="s">
        <v>55</v>
      </c>
    </row>
    <row r="87" spans="1:10">
      <c r="A87" s="1" t="s">
        <v>126</v>
      </c>
      <c r="G87">
        <v>45</v>
      </c>
      <c r="H87">
        <v>10</v>
      </c>
    </row>
    <row r="88" spans="1:10">
      <c r="A88" s="1" t="s">
        <v>160</v>
      </c>
      <c r="E88">
        <v>40</v>
      </c>
      <c r="F88">
        <v>61</v>
      </c>
      <c r="G88">
        <v>43</v>
      </c>
    </row>
    <row r="89" spans="1:10">
      <c r="A89" s="1" t="s">
        <v>197</v>
      </c>
      <c r="E89">
        <v>40</v>
      </c>
      <c r="F89">
        <v>30</v>
      </c>
      <c r="G89">
        <v>33</v>
      </c>
      <c r="H89">
        <v>10</v>
      </c>
    </row>
    <row r="90" spans="1:10">
      <c r="A90" s="1" t="s">
        <v>227</v>
      </c>
      <c r="E90">
        <v>40</v>
      </c>
      <c r="F90">
        <v>30</v>
      </c>
      <c r="G90">
        <v>33</v>
      </c>
      <c r="H90">
        <v>13</v>
      </c>
    </row>
    <row r="91" spans="1:10">
      <c r="A91" s="1" t="s">
        <v>198</v>
      </c>
      <c r="D91">
        <v>30</v>
      </c>
      <c r="E91">
        <v>40</v>
      </c>
      <c r="F91">
        <v>55</v>
      </c>
      <c r="G91">
        <v>33</v>
      </c>
    </row>
    <row r="92" spans="1:10">
      <c r="A92" s="1" t="s">
        <v>228</v>
      </c>
      <c r="D92">
        <v>40</v>
      </c>
      <c r="E92">
        <v>40</v>
      </c>
      <c r="F92">
        <v>65</v>
      </c>
      <c r="G92">
        <v>33</v>
      </c>
    </row>
    <row r="93" spans="1:10">
      <c r="A93" s="1" t="s">
        <v>127</v>
      </c>
      <c r="E93">
        <v>38</v>
      </c>
      <c r="F93">
        <v>42</v>
      </c>
      <c r="G93">
        <v>23</v>
      </c>
    </row>
    <row r="94" spans="1:10">
      <c r="A94" s="1" t="s">
        <v>125</v>
      </c>
      <c r="C94">
        <f>計算!H33</f>
        <v>0</v>
      </c>
      <c r="D94">
        <f>計算!I33</f>
        <v>0</v>
      </c>
      <c r="E94">
        <f>計算!J33+23</f>
        <v>38</v>
      </c>
      <c r="F94">
        <f>計算!K33+20</f>
        <v>35</v>
      </c>
      <c r="G94">
        <f>計算!L33+29</f>
        <v>29</v>
      </c>
      <c r="H94">
        <f>計算!M33</f>
        <v>0</v>
      </c>
      <c r="I94">
        <f>計算!N33</f>
        <v>0</v>
      </c>
      <c r="J94">
        <f>計算!O33</f>
        <v>0</v>
      </c>
    </row>
    <row r="95" spans="1:10">
      <c r="A95" s="1" t="s">
        <v>57</v>
      </c>
      <c r="C95">
        <f>計算!H29</f>
        <v>0</v>
      </c>
      <c r="D95">
        <f>計算!I29</f>
        <v>0</v>
      </c>
      <c r="E95">
        <f>計算!J29</f>
        <v>35</v>
      </c>
      <c r="F95">
        <f>計算!K29</f>
        <v>35</v>
      </c>
      <c r="G95">
        <f>計算!L29+30</f>
        <v>30</v>
      </c>
      <c r="H95">
        <f>計算!M29</f>
        <v>0</v>
      </c>
      <c r="I95">
        <f>計算!N29</f>
        <v>0</v>
      </c>
      <c r="J95">
        <f>計算!O29</f>
        <v>0</v>
      </c>
    </row>
    <row r="96" spans="1:10">
      <c r="A96" s="1"/>
    </row>
    <row r="97" spans="1:10">
      <c r="A97" t="s">
        <v>3</v>
      </c>
      <c r="B97" s="1" t="s">
        <v>18</v>
      </c>
      <c r="C97" t="s">
        <v>11</v>
      </c>
      <c r="D97" t="s">
        <v>68</v>
      </c>
      <c r="E97" s="1" t="s">
        <v>69</v>
      </c>
      <c r="F97" t="s">
        <v>70</v>
      </c>
      <c r="G97" t="s">
        <v>0</v>
      </c>
      <c r="H97" s="1" t="s">
        <v>71</v>
      </c>
      <c r="I97" s="1" t="s">
        <v>72</v>
      </c>
      <c r="J97" s="1" t="s">
        <v>55</v>
      </c>
    </row>
    <row r="98" spans="1:10">
      <c r="A98" s="1" t="s">
        <v>131</v>
      </c>
      <c r="E98">
        <v>53</v>
      </c>
      <c r="G98">
        <v>17</v>
      </c>
    </row>
    <row r="99" spans="1:10">
      <c r="A99" s="1" t="s">
        <v>243</v>
      </c>
      <c r="E99">
        <v>62</v>
      </c>
      <c r="G99">
        <v>26</v>
      </c>
      <c r="H99">
        <v>12</v>
      </c>
    </row>
    <row r="100" spans="1:10">
      <c r="A100" s="1" t="s">
        <v>199</v>
      </c>
      <c r="E100">
        <v>40</v>
      </c>
      <c r="F100">
        <v>30</v>
      </c>
      <c r="G100">
        <v>12</v>
      </c>
      <c r="H100">
        <v>8</v>
      </c>
    </row>
    <row r="101" spans="1:10">
      <c r="A101" s="1" t="s">
        <v>229</v>
      </c>
      <c r="E101">
        <v>40</v>
      </c>
      <c r="F101">
        <v>30</v>
      </c>
      <c r="G101">
        <v>12</v>
      </c>
      <c r="H101">
        <v>11</v>
      </c>
    </row>
    <row r="102" spans="1:10">
      <c r="A102" s="1" t="s">
        <v>200</v>
      </c>
      <c r="D102">
        <v>20</v>
      </c>
      <c r="E102">
        <v>40</v>
      </c>
      <c r="F102">
        <v>55</v>
      </c>
      <c r="G102">
        <v>12</v>
      </c>
    </row>
    <row r="103" spans="1:10">
      <c r="A103" s="1" t="s">
        <v>230</v>
      </c>
      <c r="D103">
        <v>30</v>
      </c>
      <c r="E103">
        <v>40</v>
      </c>
      <c r="F103">
        <v>65</v>
      </c>
      <c r="G103">
        <v>12</v>
      </c>
    </row>
    <row r="104" spans="1:10">
      <c r="A104" s="1" t="s">
        <v>132</v>
      </c>
      <c r="F104">
        <v>42</v>
      </c>
      <c r="G104">
        <v>12</v>
      </c>
    </row>
    <row r="105" spans="1:10">
      <c r="A105" s="1" t="s">
        <v>87</v>
      </c>
      <c r="C105">
        <f>計算!H34</f>
        <v>0</v>
      </c>
      <c r="D105">
        <f>計算!I34</f>
        <v>0</v>
      </c>
      <c r="E105">
        <f>計算!J34+18</f>
        <v>33</v>
      </c>
      <c r="F105">
        <f>計算!K34+15</f>
        <v>30</v>
      </c>
      <c r="G105">
        <f>計算!L34+5</f>
        <v>5</v>
      </c>
      <c r="H105">
        <f>計算!M34</f>
        <v>0</v>
      </c>
      <c r="I105">
        <f>計算!N34</f>
        <v>0</v>
      </c>
      <c r="J105">
        <f>計算!O34</f>
        <v>0</v>
      </c>
    </row>
    <row r="106" spans="1:10">
      <c r="A106" s="1" t="s">
        <v>58</v>
      </c>
      <c r="C106">
        <f>計算!H30</f>
        <v>0</v>
      </c>
      <c r="D106">
        <f>計算!I30</f>
        <v>0</v>
      </c>
      <c r="E106">
        <f>計算!J30</f>
        <v>35</v>
      </c>
      <c r="F106">
        <f>計算!K30</f>
        <v>35</v>
      </c>
      <c r="G106">
        <f>計算!L30+8</f>
        <v>8</v>
      </c>
      <c r="H106">
        <f>計算!M30</f>
        <v>0</v>
      </c>
      <c r="I106">
        <f>計算!N30</f>
        <v>0</v>
      </c>
      <c r="J106">
        <f>計算!O30</f>
        <v>0</v>
      </c>
    </row>
    <row r="107" spans="1:10">
      <c r="A107" s="1" t="s">
        <v>190</v>
      </c>
      <c r="E107">
        <v>45</v>
      </c>
      <c r="G107">
        <v>33</v>
      </c>
    </row>
    <row r="108" spans="1:10">
      <c r="A108" s="1" t="s">
        <v>191</v>
      </c>
      <c r="E108">
        <v>55</v>
      </c>
      <c r="G108">
        <v>38</v>
      </c>
    </row>
    <row r="110" spans="1:10">
      <c r="A110" t="s">
        <v>5</v>
      </c>
      <c r="B110" s="1" t="s">
        <v>18</v>
      </c>
      <c r="C110" t="s">
        <v>11</v>
      </c>
      <c r="D110" t="s">
        <v>68</v>
      </c>
      <c r="E110" s="1" t="s">
        <v>69</v>
      </c>
      <c r="F110" t="s">
        <v>70</v>
      </c>
      <c r="G110" t="s">
        <v>0</v>
      </c>
      <c r="H110" s="1" t="s">
        <v>71</v>
      </c>
      <c r="I110" s="1" t="s">
        <v>72</v>
      </c>
      <c r="J110" s="1" t="s">
        <v>55</v>
      </c>
    </row>
    <row r="111" spans="1:10">
      <c r="A111" s="1" t="s">
        <v>133</v>
      </c>
      <c r="F111">
        <v>25</v>
      </c>
      <c r="G111">
        <v>33</v>
      </c>
    </row>
    <row r="112" spans="1:10">
      <c r="A112" s="1" t="s">
        <v>201</v>
      </c>
      <c r="E112">
        <v>40</v>
      </c>
      <c r="F112">
        <v>30</v>
      </c>
      <c r="G112">
        <v>34</v>
      </c>
      <c r="H112">
        <v>9</v>
      </c>
    </row>
    <row r="113" spans="1:10">
      <c r="A113" s="1" t="s">
        <v>231</v>
      </c>
      <c r="E113">
        <v>40</v>
      </c>
      <c r="F113">
        <v>30</v>
      </c>
      <c r="G113">
        <v>34</v>
      </c>
      <c r="H113">
        <v>12</v>
      </c>
    </row>
    <row r="114" spans="1:10">
      <c r="A114" s="1" t="s">
        <v>202</v>
      </c>
      <c r="D114">
        <v>25</v>
      </c>
      <c r="E114">
        <v>40</v>
      </c>
      <c r="F114">
        <v>55</v>
      </c>
      <c r="G114">
        <v>34</v>
      </c>
    </row>
    <row r="115" spans="1:10">
      <c r="A115" s="1" t="s">
        <v>232</v>
      </c>
      <c r="D115">
        <v>35</v>
      </c>
      <c r="E115">
        <v>40</v>
      </c>
      <c r="F115">
        <v>65</v>
      </c>
      <c r="G115">
        <v>34</v>
      </c>
    </row>
    <row r="116" spans="1:10">
      <c r="A116" s="1" t="s">
        <v>59</v>
      </c>
      <c r="B116" s="1"/>
      <c r="C116">
        <f>計算!H31</f>
        <v>0</v>
      </c>
      <c r="D116">
        <f>計算!I31</f>
        <v>0</v>
      </c>
      <c r="E116">
        <f>計算!J31</f>
        <v>35</v>
      </c>
      <c r="F116">
        <f>計算!K31</f>
        <v>35</v>
      </c>
      <c r="G116">
        <f>計算!L31+32</f>
        <v>32</v>
      </c>
      <c r="H116">
        <f>計算!M31</f>
        <v>0</v>
      </c>
      <c r="I116">
        <f>計算!N31</f>
        <v>0</v>
      </c>
      <c r="J116">
        <f>計算!O31</f>
        <v>0</v>
      </c>
    </row>
    <row r="118" spans="1:10">
      <c r="A118" t="s">
        <v>4</v>
      </c>
      <c r="B118" s="1" t="s">
        <v>18</v>
      </c>
      <c r="C118" t="s">
        <v>11</v>
      </c>
      <c r="D118" t="s">
        <v>68</v>
      </c>
      <c r="E118" s="1" t="s">
        <v>69</v>
      </c>
      <c r="F118" t="s">
        <v>70</v>
      </c>
      <c r="G118" t="s">
        <v>0</v>
      </c>
      <c r="H118" s="1" t="s">
        <v>71</v>
      </c>
      <c r="I118" s="1" t="s">
        <v>72</v>
      </c>
      <c r="J118" s="1" t="s">
        <v>55</v>
      </c>
    </row>
    <row r="119" spans="1:10">
      <c r="A119" s="1" t="s">
        <v>134</v>
      </c>
      <c r="E119">
        <v>52</v>
      </c>
      <c r="G119">
        <v>49</v>
      </c>
    </row>
    <row r="120" spans="1:10">
      <c r="A120" s="1" t="s">
        <v>135</v>
      </c>
      <c r="E120">
        <v>36</v>
      </c>
      <c r="F120">
        <v>55</v>
      </c>
      <c r="G120">
        <v>49</v>
      </c>
      <c r="H120">
        <v>10</v>
      </c>
    </row>
    <row r="121" spans="1:10">
      <c r="A121" s="1" t="s">
        <v>203</v>
      </c>
      <c r="E121">
        <v>40</v>
      </c>
      <c r="F121">
        <v>30</v>
      </c>
      <c r="G121">
        <v>46</v>
      </c>
      <c r="H121">
        <v>8</v>
      </c>
    </row>
    <row r="122" spans="1:10">
      <c r="A122" s="1" t="s">
        <v>233</v>
      </c>
      <c r="E122">
        <v>40</v>
      </c>
      <c r="F122">
        <v>30</v>
      </c>
      <c r="G122">
        <v>46</v>
      </c>
      <c r="H122">
        <v>11</v>
      </c>
    </row>
    <row r="123" spans="1:10">
      <c r="A123" s="1" t="s">
        <v>204</v>
      </c>
      <c r="D123">
        <v>20</v>
      </c>
      <c r="E123">
        <v>40</v>
      </c>
      <c r="F123">
        <v>55</v>
      </c>
      <c r="G123">
        <v>46</v>
      </c>
    </row>
    <row r="124" spans="1:10">
      <c r="A124" s="1" t="s">
        <v>234</v>
      </c>
      <c r="D124">
        <v>30</v>
      </c>
      <c r="E124">
        <v>40</v>
      </c>
      <c r="F124">
        <v>65</v>
      </c>
      <c r="G124">
        <v>46</v>
      </c>
    </row>
    <row r="125" spans="1:10">
      <c r="A125" s="1" t="s">
        <v>60</v>
      </c>
      <c r="C125">
        <f>計算!H32</f>
        <v>0</v>
      </c>
      <c r="D125">
        <f>計算!I32</f>
        <v>0</v>
      </c>
      <c r="E125">
        <f>計算!J32+10</f>
        <v>45</v>
      </c>
      <c r="F125">
        <f>計算!K32+10</f>
        <v>45</v>
      </c>
      <c r="G125">
        <f>計算!L32+43</f>
        <v>43</v>
      </c>
      <c r="H125">
        <f>計算!M32</f>
        <v>0</v>
      </c>
      <c r="I125">
        <f>計算!N32</f>
        <v>0</v>
      </c>
      <c r="J125">
        <f>計算!O32</f>
        <v>0</v>
      </c>
    </row>
    <row r="127" spans="1:10">
      <c r="A127" s="1" t="s">
        <v>23</v>
      </c>
      <c r="B127" s="1" t="s">
        <v>18</v>
      </c>
      <c r="C127" t="s">
        <v>11</v>
      </c>
      <c r="D127" t="s">
        <v>68</v>
      </c>
      <c r="E127" s="1" t="s">
        <v>69</v>
      </c>
      <c r="F127" t="s">
        <v>70</v>
      </c>
      <c r="G127" t="s">
        <v>0</v>
      </c>
      <c r="H127" s="1" t="s">
        <v>71</v>
      </c>
      <c r="I127" s="1" t="s">
        <v>72</v>
      </c>
      <c r="J127" s="1" t="s">
        <v>55</v>
      </c>
    </row>
    <row r="128" spans="1:10">
      <c r="A128" s="67" t="s">
        <v>251</v>
      </c>
      <c r="B128" s="66"/>
      <c r="C128" s="66"/>
      <c r="D128" s="66"/>
      <c r="E128" s="66">
        <v>16</v>
      </c>
      <c r="F128" s="66"/>
      <c r="G128" s="66">
        <v>7</v>
      </c>
      <c r="H128" s="66"/>
      <c r="I128" s="66"/>
      <c r="J128" s="66"/>
    </row>
    <row r="129" spans="1:10">
      <c r="A129" s="67" t="s">
        <v>252</v>
      </c>
      <c r="B129" s="66"/>
      <c r="C129" s="66"/>
      <c r="D129" s="66"/>
      <c r="E129" s="66">
        <v>20</v>
      </c>
      <c r="F129" s="66"/>
      <c r="G129" s="66">
        <v>15</v>
      </c>
      <c r="H129" s="66"/>
      <c r="I129" s="66"/>
      <c r="J129" s="66"/>
    </row>
    <row r="130" spans="1:10">
      <c r="A130" s="67" t="s">
        <v>110</v>
      </c>
      <c r="B130" s="66"/>
      <c r="C130" s="66"/>
      <c r="D130" s="66"/>
      <c r="E130" s="66"/>
      <c r="F130" s="66"/>
      <c r="G130" s="66"/>
      <c r="H130" s="66"/>
      <c r="I130" s="66"/>
      <c r="J130" s="66">
        <v>250</v>
      </c>
    </row>
    <row r="131" spans="1:10">
      <c r="A131" s="67" t="s">
        <v>111</v>
      </c>
      <c r="B131" s="66"/>
      <c r="C131" s="66"/>
      <c r="D131" s="66"/>
      <c r="E131" s="66"/>
      <c r="F131" s="66">
        <v>4</v>
      </c>
      <c r="G131" s="66"/>
      <c r="H131" s="66"/>
      <c r="I131" s="66"/>
      <c r="J131" s="66">
        <v>250</v>
      </c>
    </row>
    <row r="132" spans="1:10">
      <c r="A132" s="67" t="s">
        <v>112</v>
      </c>
      <c r="B132" s="66"/>
      <c r="C132" s="66"/>
      <c r="D132" s="66"/>
      <c r="E132" s="66"/>
      <c r="F132" s="66">
        <v>10</v>
      </c>
      <c r="G132" s="66"/>
      <c r="H132" s="66"/>
      <c r="I132" s="66"/>
      <c r="J132" s="66"/>
    </row>
    <row r="133" spans="1:10">
      <c r="A133" s="67" t="s">
        <v>113</v>
      </c>
      <c r="B133" s="66"/>
      <c r="C133" s="66"/>
      <c r="D133" s="66">
        <v>6</v>
      </c>
      <c r="E133" s="66"/>
      <c r="F133" s="66">
        <v>6</v>
      </c>
      <c r="G133" s="66"/>
      <c r="H133" s="66"/>
      <c r="I133" s="66"/>
      <c r="J133" s="66"/>
    </row>
    <row r="134" spans="1:10">
      <c r="A134" s="67" t="s">
        <v>114</v>
      </c>
      <c r="B134" s="66"/>
      <c r="C134" s="66"/>
      <c r="D134" s="66"/>
      <c r="E134" s="66">
        <v>10</v>
      </c>
      <c r="F134" s="66"/>
      <c r="G134" s="66"/>
      <c r="H134" s="66"/>
      <c r="I134" s="66"/>
      <c r="J134" s="66"/>
    </row>
    <row r="135" spans="1:10">
      <c r="A135" s="67" t="s">
        <v>115</v>
      </c>
      <c r="B135" s="66"/>
      <c r="C135" s="66"/>
      <c r="D135" s="66"/>
      <c r="E135" s="66"/>
      <c r="F135" s="66"/>
      <c r="G135" s="66">
        <v>4</v>
      </c>
      <c r="H135" s="66"/>
      <c r="I135" s="66"/>
      <c r="J135" s="66"/>
    </row>
    <row r="137" spans="1:10">
      <c r="A137" s="1" t="s">
        <v>24</v>
      </c>
      <c r="B137" s="1" t="s">
        <v>18</v>
      </c>
      <c r="C137" t="s">
        <v>11</v>
      </c>
      <c r="D137" t="s">
        <v>68</v>
      </c>
      <c r="E137" s="1" t="s">
        <v>69</v>
      </c>
      <c r="F137" t="s">
        <v>70</v>
      </c>
      <c r="G137" t="s">
        <v>0</v>
      </c>
      <c r="H137" s="1" t="s">
        <v>71</v>
      </c>
      <c r="I137" s="1" t="s">
        <v>72</v>
      </c>
      <c r="J137" s="1" t="s">
        <v>55</v>
      </c>
    </row>
    <row r="138" spans="1:10">
      <c r="A138" s="69" t="s">
        <v>116</v>
      </c>
      <c r="B138" s="68"/>
      <c r="C138" s="68"/>
      <c r="D138" s="68"/>
      <c r="E138" s="68">
        <v>5</v>
      </c>
      <c r="F138" s="68"/>
      <c r="G138" s="68"/>
      <c r="H138" s="68"/>
      <c r="I138" s="68">
        <v>5</v>
      </c>
      <c r="J138" s="68"/>
    </row>
    <row r="139" spans="1:10">
      <c r="A139" s="69" t="s">
        <v>66</v>
      </c>
      <c r="B139" s="68"/>
      <c r="C139" s="68"/>
      <c r="D139" s="68"/>
      <c r="E139" s="68"/>
      <c r="F139" s="68">
        <v>10</v>
      </c>
      <c r="G139" s="68">
        <v>10</v>
      </c>
      <c r="H139" s="68"/>
      <c r="I139" s="68"/>
      <c r="J139" s="68"/>
    </row>
    <row r="140" spans="1:10">
      <c r="A140" s="69" t="s">
        <v>67</v>
      </c>
      <c r="B140" s="68"/>
      <c r="C140" s="68"/>
      <c r="D140" s="68"/>
      <c r="E140" s="68"/>
      <c r="F140" s="68"/>
      <c r="G140" s="68">
        <v>10</v>
      </c>
      <c r="H140" s="68"/>
      <c r="I140" s="68"/>
      <c r="J140" s="68"/>
    </row>
    <row r="141" spans="1:10">
      <c r="A141" s="69" t="s">
        <v>117</v>
      </c>
      <c r="B141" s="68"/>
      <c r="C141" s="68"/>
      <c r="D141" s="68"/>
      <c r="E141" s="68">
        <v>8</v>
      </c>
      <c r="F141" s="68">
        <v>8</v>
      </c>
      <c r="G141" s="68"/>
      <c r="H141" s="68"/>
      <c r="I141" s="68"/>
      <c r="J141" s="68"/>
    </row>
    <row r="142" spans="1:10">
      <c r="A142" s="69" t="s">
        <v>118</v>
      </c>
      <c r="B142" s="68"/>
      <c r="C142" s="68"/>
      <c r="D142" s="68"/>
      <c r="E142" s="68">
        <v>10</v>
      </c>
      <c r="F142" s="68"/>
      <c r="G142" s="68"/>
      <c r="H142" s="68">
        <v>4</v>
      </c>
      <c r="I142" s="68"/>
      <c r="J142" s="68"/>
    </row>
    <row r="143" spans="1:10">
      <c r="A143" s="69" t="s">
        <v>241</v>
      </c>
      <c r="B143" s="68"/>
      <c r="C143" s="68"/>
      <c r="D143" s="68"/>
      <c r="E143" s="68"/>
      <c r="F143" s="68"/>
      <c r="G143" s="68"/>
      <c r="H143" s="68">
        <v>10</v>
      </c>
      <c r="I143" s="68"/>
      <c r="J143" s="68"/>
    </row>
    <row r="144" spans="1:10">
      <c r="A144" s="69" t="s">
        <v>242</v>
      </c>
      <c r="B144" s="68"/>
      <c r="C144" s="68"/>
      <c r="D144" s="68"/>
      <c r="E144" s="68"/>
      <c r="F144" s="68">
        <v>10</v>
      </c>
      <c r="G144" s="68"/>
      <c r="H144" s="68"/>
      <c r="I144" s="68"/>
      <c r="J144" s="68"/>
    </row>
    <row r="145" spans="1:10">
      <c r="A145" s="69" t="s">
        <v>205</v>
      </c>
      <c r="B145" s="68"/>
      <c r="C145" s="68"/>
      <c r="D145" s="68"/>
      <c r="E145" s="68"/>
      <c r="F145" s="68"/>
      <c r="G145" s="68"/>
      <c r="H145" s="68">
        <v>5</v>
      </c>
      <c r="I145" s="68"/>
      <c r="J145" s="68"/>
    </row>
    <row r="146" spans="1:10">
      <c r="A146" s="69" t="s">
        <v>119</v>
      </c>
      <c r="B146" s="68"/>
      <c r="C146" s="68"/>
      <c r="D146" s="68"/>
      <c r="E146" s="68">
        <v>3</v>
      </c>
      <c r="F146" s="68">
        <v>3</v>
      </c>
      <c r="G146" s="68">
        <v>5</v>
      </c>
      <c r="H146" s="68"/>
      <c r="I146" s="68"/>
      <c r="J146" s="68"/>
    </row>
    <row r="147" spans="1:10">
      <c r="A147" s="69" t="s">
        <v>120</v>
      </c>
      <c r="B147" s="68"/>
      <c r="C147" s="68"/>
      <c r="D147" s="68">
        <v>5</v>
      </c>
      <c r="E147" s="68">
        <v>3</v>
      </c>
      <c r="F147" s="68">
        <v>3</v>
      </c>
      <c r="G147" s="68"/>
      <c r="H147" s="68"/>
      <c r="I147" s="68"/>
      <c r="J147" s="68"/>
    </row>
    <row r="149" spans="1:10">
      <c r="A149" t="s">
        <v>6</v>
      </c>
      <c r="B149" s="1" t="s">
        <v>18</v>
      </c>
      <c r="C149" t="s">
        <v>11</v>
      </c>
      <c r="D149" t="s">
        <v>68</v>
      </c>
      <c r="E149" s="1" t="s">
        <v>69</v>
      </c>
      <c r="F149" t="s">
        <v>70</v>
      </c>
      <c r="G149" t="s">
        <v>0</v>
      </c>
      <c r="H149" s="1" t="s">
        <v>71</v>
      </c>
      <c r="I149" s="1" t="s">
        <v>72</v>
      </c>
      <c r="J149" s="1" t="s">
        <v>55</v>
      </c>
    </row>
    <row r="150" spans="1:10">
      <c r="A150" s="62" t="s">
        <v>121</v>
      </c>
      <c r="B150" s="62"/>
      <c r="C150" s="62"/>
      <c r="D150" s="65"/>
      <c r="E150" s="62">
        <v>10</v>
      </c>
      <c r="F150" s="62">
        <v>10</v>
      </c>
      <c r="G150" s="62"/>
      <c r="H150" s="65"/>
      <c r="I150" s="65"/>
    </row>
    <row r="151" spans="1:10">
      <c r="A151" s="134" t="s">
        <v>206</v>
      </c>
      <c r="B151" s="65"/>
      <c r="C151" s="65"/>
      <c r="D151" s="65">
        <v>20</v>
      </c>
      <c r="E151" s="65">
        <v>20</v>
      </c>
      <c r="F151" s="65">
        <v>6</v>
      </c>
      <c r="G151" s="65">
        <v>12</v>
      </c>
      <c r="H151" s="65"/>
      <c r="I151" s="65"/>
    </row>
    <row r="152" spans="1:10">
      <c r="A152" s="134" t="s">
        <v>207</v>
      </c>
      <c r="B152" s="65"/>
      <c r="C152" s="65"/>
      <c r="D152" s="65">
        <v>25</v>
      </c>
      <c r="E152" s="65">
        <v>25</v>
      </c>
      <c r="F152" s="65">
        <v>7</v>
      </c>
      <c r="G152" s="65">
        <v>15</v>
      </c>
      <c r="H152" s="65"/>
      <c r="I152" s="65"/>
    </row>
    <row r="153" spans="1:10">
      <c r="A153" s="134" t="s">
        <v>236</v>
      </c>
      <c r="B153" s="65"/>
      <c r="C153" s="65"/>
      <c r="D153" s="65"/>
      <c r="E153" s="65"/>
      <c r="F153" s="65">
        <v>13</v>
      </c>
      <c r="G153" s="65"/>
      <c r="H153" s="65"/>
      <c r="I153" s="65"/>
    </row>
    <row r="154" spans="1:10">
      <c r="A154" s="1" t="s">
        <v>25</v>
      </c>
      <c r="E154" s="1">
        <v>10</v>
      </c>
    </row>
    <row r="156" spans="1:10">
      <c r="A156" t="s">
        <v>7</v>
      </c>
      <c r="B156" s="1" t="s">
        <v>18</v>
      </c>
      <c r="C156" t="s">
        <v>11</v>
      </c>
      <c r="D156" t="s">
        <v>68</v>
      </c>
      <c r="E156" s="1" t="s">
        <v>69</v>
      </c>
      <c r="F156" t="s">
        <v>70</v>
      </c>
      <c r="G156" t="s">
        <v>0</v>
      </c>
      <c r="H156" s="1" t="s">
        <v>71</v>
      </c>
      <c r="I156" s="1" t="s">
        <v>72</v>
      </c>
      <c r="J156" s="1" t="s">
        <v>55</v>
      </c>
    </row>
    <row r="157" spans="1:10">
      <c r="A157" s="64" t="s">
        <v>63</v>
      </c>
      <c r="B157" s="63"/>
      <c r="C157" s="63"/>
      <c r="D157" s="63"/>
      <c r="E157" s="64">
        <v>7</v>
      </c>
      <c r="F157" s="63">
        <v>7</v>
      </c>
      <c r="G157" s="63"/>
      <c r="H157" s="63"/>
      <c r="I157" s="63"/>
      <c r="J157" s="63"/>
    </row>
    <row r="158" spans="1:10">
      <c r="A158" s="64" t="s">
        <v>64</v>
      </c>
      <c r="B158" s="63"/>
      <c r="C158" s="63"/>
      <c r="D158" s="63"/>
      <c r="E158" s="64">
        <v>15</v>
      </c>
      <c r="F158" s="63"/>
      <c r="G158" s="63">
        <v>5</v>
      </c>
      <c r="H158" s="63"/>
      <c r="I158" s="63"/>
      <c r="J158" s="63"/>
    </row>
    <row r="159" spans="1:10">
      <c r="A159" s="64" t="s">
        <v>65</v>
      </c>
      <c r="B159" s="63"/>
      <c r="C159" s="63"/>
      <c r="D159" s="63"/>
      <c r="E159" s="64">
        <v>20</v>
      </c>
      <c r="F159" s="63"/>
      <c r="G159" s="63">
        <v>8</v>
      </c>
      <c r="H159" s="63"/>
      <c r="I159" s="63"/>
      <c r="J159" s="63"/>
    </row>
    <row r="160" spans="1:10">
      <c r="A160" s="64" t="s">
        <v>237</v>
      </c>
      <c r="B160" s="63"/>
      <c r="C160" s="63"/>
      <c r="D160" s="63">
        <v>30</v>
      </c>
      <c r="E160" s="64">
        <v>5</v>
      </c>
      <c r="F160" s="63">
        <v>5</v>
      </c>
      <c r="G160" s="63"/>
      <c r="H160" s="63"/>
      <c r="I160" s="63"/>
      <c r="J160" s="63"/>
    </row>
    <row r="161" spans="1:10">
      <c r="A161" s="64" t="s">
        <v>238</v>
      </c>
      <c r="B161" s="63"/>
      <c r="C161" s="63"/>
      <c r="D161" s="63">
        <v>35</v>
      </c>
      <c r="E161" s="64">
        <v>7</v>
      </c>
      <c r="F161" s="63">
        <v>7</v>
      </c>
      <c r="G161" s="63"/>
      <c r="H161" s="63"/>
      <c r="I161" s="63"/>
      <c r="J161" s="63"/>
    </row>
    <row r="162" spans="1:10">
      <c r="A162" s="64" t="s">
        <v>239</v>
      </c>
      <c r="B162" s="63"/>
      <c r="C162" s="63"/>
      <c r="D162" s="63"/>
      <c r="E162" s="64"/>
      <c r="F162" s="63"/>
      <c r="G162" s="63"/>
      <c r="H162" s="63"/>
      <c r="I162" s="63">
        <v>1</v>
      </c>
      <c r="J162" s="63"/>
    </row>
    <row r="163" spans="1:10">
      <c r="A163" s="64" t="s">
        <v>240</v>
      </c>
      <c r="B163" s="63"/>
      <c r="C163" s="63"/>
      <c r="D163" s="63"/>
      <c r="E163" s="64"/>
      <c r="F163" s="63"/>
      <c r="G163" s="63"/>
      <c r="H163" s="63"/>
      <c r="I163" s="63">
        <v>15</v>
      </c>
      <c r="J163" s="63"/>
    </row>
    <row r="164" spans="1:10">
      <c r="A164" s="64" t="s">
        <v>122</v>
      </c>
      <c r="B164" s="63"/>
      <c r="C164" s="63"/>
      <c r="D164" s="63"/>
      <c r="E164" s="64"/>
      <c r="F164" s="63"/>
      <c r="G164" s="63"/>
      <c r="H164" s="63"/>
      <c r="I164" s="63"/>
      <c r="J164" s="63"/>
    </row>
    <row r="165" spans="1:10">
      <c r="A165" s="1" t="s">
        <v>26</v>
      </c>
      <c r="E165" s="113">
        <v>10</v>
      </c>
    </row>
    <row r="167" spans="1:10">
      <c r="A167" s="1" t="s">
        <v>27</v>
      </c>
      <c r="B167" s="1" t="s">
        <v>18</v>
      </c>
      <c r="C167" t="s">
        <v>11</v>
      </c>
      <c r="D167" t="s">
        <v>68</v>
      </c>
      <c r="E167" s="1" t="s">
        <v>69</v>
      </c>
      <c r="F167" t="s">
        <v>70</v>
      </c>
      <c r="G167" t="s">
        <v>0</v>
      </c>
      <c r="H167" s="1" t="s">
        <v>71</v>
      </c>
      <c r="I167" s="1" t="s">
        <v>72</v>
      </c>
      <c r="J167" s="1" t="s">
        <v>55</v>
      </c>
    </row>
    <row r="168" spans="1:10">
      <c r="A168" s="1" t="s">
        <v>152</v>
      </c>
      <c r="D168">
        <v>20</v>
      </c>
      <c r="E168" s="1">
        <v>20</v>
      </c>
      <c r="G168">
        <v>30</v>
      </c>
      <c r="H168">
        <v>10</v>
      </c>
    </row>
    <row r="169" spans="1:10">
      <c r="A169" s="1" t="s">
        <v>155</v>
      </c>
      <c r="E169" s="1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C2" sqref="C2:C24"/>
    </sheetView>
  </sheetViews>
  <sheetFormatPr defaultRowHeight="13.5"/>
  <cols>
    <col min="1" max="1" width="16.875" bestFit="1" customWidth="1"/>
    <col min="2" max="2" width="9.875" bestFit="1" customWidth="1"/>
    <col min="3" max="3" width="11.375" bestFit="1" customWidth="1"/>
  </cols>
  <sheetData>
    <row r="1" spans="1:6">
      <c r="A1" s="121" t="s">
        <v>159</v>
      </c>
      <c r="B1" s="122" t="s">
        <v>157</v>
      </c>
      <c r="C1" s="122" t="s">
        <v>158</v>
      </c>
      <c r="D1" s="2"/>
      <c r="E1" s="2"/>
    </row>
    <row r="2" spans="1:6">
      <c r="A2" s="123" t="s">
        <v>53</v>
      </c>
      <c r="B2" s="124">
        <v>0</v>
      </c>
      <c r="C2" s="124">
        <v>0</v>
      </c>
      <c r="D2" s="4"/>
      <c r="E2" s="4"/>
      <c r="F2" s="120"/>
    </row>
    <row r="3" spans="1:6">
      <c r="A3" s="123" t="s">
        <v>168</v>
      </c>
      <c r="B3" s="124">
        <v>4</v>
      </c>
      <c r="C3" s="124">
        <v>10</v>
      </c>
      <c r="D3" s="4"/>
      <c r="E3" s="4"/>
      <c r="F3" s="120"/>
    </row>
    <row r="4" spans="1:6">
      <c r="A4" s="123" t="s">
        <v>169</v>
      </c>
      <c r="B4" s="124">
        <v>6</v>
      </c>
      <c r="C4" s="124">
        <v>13</v>
      </c>
      <c r="D4" s="4"/>
      <c r="E4" s="4"/>
      <c r="F4" s="120"/>
    </row>
    <row r="5" spans="1:6">
      <c r="A5" s="123" t="s">
        <v>170</v>
      </c>
      <c r="B5" s="122">
        <v>8</v>
      </c>
      <c r="C5" s="124">
        <v>15</v>
      </c>
      <c r="D5" s="4"/>
      <c r="E5" s="4"/>
      <c r="F5" s="120"/>
    </row>
    <row r="6" spans="1:6">
      <c r="A6" s="123" t="s">
        <v>171</v>
      </c>
      <c r="B6" s="122">
        <v>10</v>
      </c>
      <c r="C6" s="124">
        <v>40</v>
      </c>
      <c r="D6" s="4"/>
      <c r="E6" s="4"/>
      <c r="F6" s="120"/>
    </row>
    <row r="7" spans="1:6">
      <c r="A7" s="123" t="s">
        <v>172</v>
      </c>
      <c r="B7" s="124">
        <v>25</v>
      </c>
      <c r="C7" s="124">
        <v>18</v>
      </c>
      <c r="D7" s="4"/>
      <c r="E7" s="4"/>
      <c r="F7" s="120"/>
    </row>
    <row r="8" spans="1:6">
      <c r="A8" s="123" t="s">
        <v>173</v>
      </c>
      <c r="B8" s="124">
        <v>12</v>
      </c>
      <c r="C8" s="124">
        <v>20</v>
      </c>
      <c r="D8" s="4"/>
      <c r="E8" s="4"/>
      <c r="F8" s="120"/>
    </row>
    <row r="9" spans="1:6">
      <c r="A9" s="123" t="s">
        <v>174</v>
      </c>
      <c r="B9" s="124">
        <v>14</v>
      </c>
      <c r="C9" s="124">
        <v>25</v>
      </c>
      <c r="D9" s="4"/>
      <c r="E9" s="4"/>
      <c r="F9" s="120"/>
    </row>
    <row r="10" spans="1:6">
      <c r="A10" s="123" t="s">
        <v>175</v>
      </c>
      <c r="B10" s="124">
        <v>17</v>
      </c>
      <c r="C10" s="124">
        <v>5</v>
      </c>
      <c r="D10" s="4"/>
      <c r="E10" s="4"/>
      <c r="F10" s="120"/>
    </row>
    <row r="11" spans="1:6">
      <c r="A11" s="123" t="s">
        <v>176</v>
      </c>
      <c r="B11" s="124">
        <v>2</v>
      </c>
      <c r="C11" s="124">
        <v>27</v>
      </c>
      <c r="D11" s="4"/>
      <c r="E11" s="4"/>
      <c r="F11" s="120"/>
    </row>
    <row r="12" spans="1:6">
      <c r="A12" s="123" t="s">
        <v>177</v>
      </c>
      <c r="B12" s="124">
        <v>20</v>
      </c>
      <c r="C12" s="124">
        <v>30</v>
      </c>
      <c r="D12" s="4"/>
      <c r="E12" s="4"/>
      <c r="F12" s="120"/>
    </row>
    <row r="13" spans="1:6">
      <c r="A13" s="123" t="s">
        <v>178</v>
      </c>
      <c r="B13" s="125">
        <v>30</v>
      </c>
      <c r="C13" s="125">
        <v>50</v>
      </c>
      <c r="D13" s="120"/>
      <c r="E13" s="120"/>
      <c r="F13" s="120"/>
    </row>
    <row r="14" spans="1:6">
      <c r="A14" s="126" t="s">
        <v>179</v>
      </c>
      <c r="B14" s="125">
        <v>14</v>
      </c>
      <c r="C14" s="125">
        <v>25</v>
      </c>
      <c r="D14" s="120"/>
      <c r="E14" s="120"/>
      <c r="F14" s="120"/>
    </row>
    <row r="15" spans="1:6">
      <c r="A15" s="126" t="s">
        <v>180</v>
      </c>
      <c r="B15" s="121">
        <v>16</v>
      </c>
      <c r="C15" s="121">
        <v>28</v>
      </c>
    </row>
    <row r="16" spans="1:6">
      <c r="A16" s="126" t="s">
        <v>181</v>
      </c>
      <c r="B16" s="121">
        <v>18</v>
      </c>
      <c r="C16" s="121">
        <v>30</v>
      </c>
    </row>
    <row r="17" spans="1:3">
      <c r="A17" s="126" t="s">
        <v>182</v>
      </c>
      <c r="B17" s="121">
        <v>20</v>
      </c>
      <c r="C17" s="121">
        <v>55</v>
      </c>
    </row>
    <row r="18" spans="1:3">
      <c r="A18" s="126" t="s">
        <v>183</v>
      </c>
      <c r="B18" s="121">
        <v>35</v>
      </c>
      <c r="C18" s="121">
        <v>33</v>
      </c>
    </row>
    <row r="19" spans="1:3">
      <c r="A19" s="126" t="s">
        <v>184</v>
      </c>
      <c r="B19" s="121">
        <v>22</v>
      </c>
      <c r="C19" s="121">
        <v>35</v>
      </c>
    </row>
    <row r="20" spans="1:3">
      <c r="A20" s="126" t="s">
        <v>185</v>
      </c>
      <c r="B20" s="121">
        <v>24</v>
      </c>
      <c r="C20" s="121">
        <v>40</v>
      </c>
    </row>
    <row r="21" spans="1:3">
      <c r="A21" s="126" t="s">
        <v>186</v>
      </c>
      <c r="B21" s="121">
        <v>27</v>
      </c>
      <c r="C21" s="121">
        <v>20</v>
      </c>
    </row>
    <row r="22" spans="1:3">
      <c r="A22" s="126" t="s">
        <v>187</v>
      </c>
      <c r="B22" s="121">
        <v>12</v>
      </c>
      <c r="C22" s="121">
        <v>42</v>
      </c>
    </row>
    <row r="23" spans="1:3">
      <c r="A23" s="126" t="s">
        <v>188</v>
      </c>
      <c r="B23" s="121">
        <v>30</v>
      </c>
      <c r="C23" s="121">
        <v>45</v>
      </c>
    </row>
    <row r="24" spans="1:3">
      <c r="A24" s="126" t="s">
        <v>189</v>
      </c>
      <c r="B24" s="121">
        <v>40</v>
      </c>
      <c r="C24" s="121">
        <v>65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s="1" t="s">
        <v>211</v>
      </c>
    </row>
    <row r="2" spans="1:1">
      <c r="A2" s="1" t="s">
        <v>212</v>
      </c>
    </row>
    <row r="3" spans="1:1">
      <c r="A3" s="1" t="s">
        <v>220</v>
      </c>
    </row>
    <row r="4" spans="1:1">
      <c r="A4" s="1" t="s">
        <v>219</v>
      </c>
    </row>
  </sheetData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36</vt:i4>
      </vt:variant>
    </vt:vector>
  </HeadingPairs>
  <TitlesOfParts>
    <vt:vector size="40" baseType="lpstr">
      <vt:lpstr>計算</vt:lpstr>
      <vt:lpstr>装備</vt:lpstr>
      <vt:lpstr>ロール</vt:lpstr>
      <vt:lpstr>Memo</vt:lpstr>
      <vt:lpstr>ウィザーズロール</vt:lpstr>
      <vt:lpstr>サブ</vt:lpstr>
      <vt:lpstr>サブ一覧</vt:lpstr>
      <vt:lpstr>サポ種族</vt:lpstr>
      <vt:lpstr>サポ種族一覧</vt:lpstr>
      <vt:lpstr>ステータスラベル</vt:lpstr>
      <vt:lpstr>メイン</vt:lpstr>
      <vt:lpstr>メイン一覧</vt:lpstr>
      <vt:lpstr>ロールインデックス</vt:lpstr>
      <vt:lpstr>ワーロックスロール</vt:lpstr>
      <vt:lpstr>遠隔</vt:lpstr>
      <vt:lpstr>遠隔一覧</vt:lpstr>
      <vt:lpstr>腰</vt:lpstr>
      <vt:lpstr>腰一覧</vt:lpstr>
      <vt:lpstr>指</vt:lpstr>
      <vt:lpstr>指一覧</vt:lpstr>
      <vt:lpstr>耳</vt:lpstr>
      <vt:lpstr>耳一覧</vt:lpstr>
      <vt:lpstr>首</vt:lpstr>
      <vt:lpstr>首一覧</vt:lpstr>
      <vt:lpstr>食事</vt:lpstr>
      <vt:lpstr>食事一覧</vt:lpstr>
      <vt:lpstr>頭</vt:lpstr>
      <vt:lpstr>頭一覧</vt:lpstr>
      <vt:lpstr>胴</vt:lpstr>
      <vt:lpstr>胴一覧</vt:lpstr>
      <vt:lpstr>背</vt:lpstr>
      <vt:lpstr>背一覧</vt:lpstr>
      <vt:lpstr>矢弾</vt:lpstr>
      <vt:lpstr>矢弾一覧</vt:lpstr>
      <vt:lpstr>両脚</vt:lpstr>
      <vt:lpstr>両脚一覧</vt:lpstr>
      <vt:lpstr>両手</vt:lpstr>
      <vt:lpstr>両手一覧</vt:lpstr>
      <vt:lpstr>両足</vt:lpstr>
      <vt:lpstr>両足一覧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2014-01-20T04:08:07Z</dcterms:created>
  <dcterms:modified xsi:type="dcterms:W3CDTF">2023-05-24T07:09:32Z</dcterms:modified>
</cp:coreProperties>
</file>